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0" windowWidth="20730" windowHeight="9555"/>
  </bookViews>
  <sheets>
    <sheet name="Venglai" sheetId="1" r:id="rId1"/>
    <sheet name="College veng" sheetId="2" r:id="rId2"/>
    <sheet name="Vengthar" sheetId="3" r:id="rId3"/>
    <sheet name="Saidan Tuithaveng" sheetId="4" r:id="rId4"/>
    <sheet name="Hmarveng" sheetId="5" r:id="rId5"/>
    <sheet name="Diakkawn" sheetId="6" r:id="rId6"/>
    <sheet name="Tumpui" sheetId="7" r:id="rId7"/>
    <sheet name="New Diakkawn" sheetId="8" r:id="rId8"/>
    <sheet name="Project veng" sheetId="9" r:id="rId9"/>
    <sheet name="Electric veng" sheetId="10" r:id="rId10"/>
    <sheet name="Rengtekawn" sheetId="11" r:id="rId11"/>
    <sheet name="N.Thinglian" sheetId="12" r:id="rId12"/>
  </sheets>
  <calcPr calcId="144525"/>
</workbook>
</file>

<file path=xl/calcChain.xml><?xml version="1.0" encoding="utf-8"?>
<calcChain xmlns="http://schemas.openxmlformats.org/spreadsheetml/2006/main">
  <c r="L10" i="5"/>
  <c r="L9"/>
  <c r="J16" i="2"/>
  <c r="E18" i="10" l="1"/>
  <c r="C28" i="12" l="1"/>
  <c r="E22"/>
  <c r="E18"/>
  <c r="E11"/>
  <c r="B26"/>
  <c r="B27"/>
  <c r="C29" s="1"/>
  <c r="E25"/>
  <c r="E24"/>
  <c r="E23"/>
  <c r="E21"/>
  <c r="E19"/>
  <c r="E17"/>
  <c r="E16"/>
  <c r="E14"/>
  <c r="E13"/>
  <c r="E12"/>
  <c r="E10"/>
  <c r="E2"/>
  <c r="E31" i="11"/>
  <c r="E30"/>
  <c r="E25"/>
  <c r="E24"/>
  <c r="E26"/>
  <c r="E33"/>
  <c r="E32"/>
  <c r="E29"/>
  <c r="B36"/>
  <c r="E23"/>
  <c r="E34" i="10"/>
  <c r="B35"/>
  <c r="B37" i="11"/>
  <c r="C38" s="1"/>
  <c r="C39" s="1"/>
  <c r="E28"/>
  <c r="E27"/>
  <c r="E22"/>
  <c r="E20"/>
  <c r="E19"/>
  <c r="E18"/>
  <c r="E17"/>
  <c r="E16"/>
  <c r="E15"/>
  <c r="E13"/>
  <c r="E12"/>
  <c r="E11"/>
  <c r="E10"/>
  <c r="E2"/>
  <c r="E11" i="10"/>
  <c r="J11"/>
  <c r="E26"/>
  <c r="E28"/>
  <c r="E33"/>
  <c r="E12"/>
  <c r="E31"/>
  <c r="E25"/>
  <c r="E27"/>
  <c r="E32"/>
  <c r="E24"/>
  <c r="B36"/>
  <c r="C37" s="1"/>
  <c r="C38" s="1"/>
  <c r="E30"/>
  <c r="E29"/>
  <c r="E23"/>
  <c r="E21"/>
  <c r="E20"/>
  <c r="E19"/>
  <c r="E17"/>
  <c r="E16"/>
  <c r="E14"/>
  <c r="E13"/>
  <c r="E10"/>
  <c r="E2"/>
  <c r="E29" i="9"/>
  <c r="E22"/>
  <c r="E24"/>
  <c r="E25"/>
  <c r="E30"/>
  <c r="E28"/>
  <c r="E33" i="5"/>
  <c r="E25"/>
  <c r="B33" i="8"/>
  <c r="E33"/>
  <c r="E24"/>
  <c r="E30"/>
  <c r="E32"/>
  <c r="E29"/>
  <c r="C33" i="9"/>
  <c r="C34" s="1"/>
  <c r="B32"/>
  <c r="B31"/>
  <c r="E27"/>
  <c r="E26"/>
  <c r="E23"/>
  <c r="E20"/>
  <c r="E19"/>
  <c r="E18"/>
  <c r="E17"/>
  <c r="E16"/>
  <c r="E15"/>
  <c r="E13"/>
  <c r="E12"/>
  <c r="E11"/>
  <c r="E10"/>
  <c r="E2"/>
  <c r="E25" i="8"/>
  <c r="B34"/>
  <c r="C35" s="1"/>
  <c r="C36" s="1"/>
  <c r="E23"/>
  <c r="E31"/>
  <c r="E28"/>
  <c r="E27"/>
  <c r="E26"/>
  <c r="E22"/>
  <c r="E20"/>
  <c r="E19"/>
  <c r="E18"/>
  <c r="E17"/>
  <c r="E16"/>
  <c r="E15"/>
  <c r="E13"/>
  <c r="E12"/>
  <c r="E11"/>
  <c r="E10"/>
  <c r="E2"/>
  <c r="E33" i="7"/>
  <c r="E28"/>
  <c r="E25"/>
  <c r="E12"/>
  <c r="E24"/>
  <c r="E32"/>
  <c r="E34"/>
  <c r="B36"/>
  <c r="C37" s="1"/>
  <c r="C38" s="1"/>
  <c r="B35"/>
  <c r="E31"/>
  <c r="E30"/>
  <c r="E29"/>
  <c r="E27"/>
  <c r="E26"/>
  <c r="E22"/>
  <c r="E21"/>
  <c r="E20"/>
  <c r="E19"/>
  <c r="E18"/>
  <c r="E17"/>
  <c r="E15"/>
  <c r="E14"/>
  <c r="E13"/>
  <c r="E11"/>
  <c r="E10"/>
  <c r="E2"/>
  <c r="E33" i="6"/>
  <c r="E24"/>
  <c r="E25"/>
  <c r="E28"/>
  <c r="E32"/>
  <c r="B35"/>
  <c r="B36"/>
  <c r="C37" s="1"/>
  <c r="C38" s="1"/>
  <c r="E34"/>
  <c r="E31"/>
  <c r="E30"/>
  <c r="E29"/>
  <c r="E27"/>
  <c r="E26"/>
  <c r="E22"/>
  <c r="E21"/>
  <c r="E20"/>
  <c r="E19"/>
  <c r="E18"/>
  <c r="E17"/>
  <c r="E15"/>
  <c r="E14"/>
  <c r="E13"/>
  <c r="E12"/>
  <c r="E11"/>
  <c r="E10"/>
  <c r="E26" i="5"/>
  <c r="E29"/>
  <c r="E35"/>
  <c r="E34"/>
  <c r="E12"/>
  <c r="E14"/>
  <c r="B36"/>
  <c r="C38"/>
  <c r="C39" s="1"/>
  <c r="E37"/>
  <c r="B37"/>
  <c r="E32"/>
  <c r="E31"/>
  <c r="E30"/>
  <c r="E28"/>
  <c r="E27"/>
  <c r="E23"/>
  <c r="E22"/>
  <c r="E21"/>
  <c r="E20"/>
  <c r="E19"/>
  <c r="E18"/>
  <c r="E17"/>
  <c r="E15"/>
  <c r="E13"/>
  <c r="E11"/>
  <c r="E10"/>
  <c r="C37" i="4"/>
  <c r="C36"/>
  <c r="E34"/>
  <c r="E32"/>
  <c r="E12"/>
  <c r="E26"/>
  <c r="E25"/>
  <c r="E28"/>
  <c r="E33"/>
  <c r="B34"/>
  <c r="E24"/>
  <c r="B35"/>
  <c r="E31"/>
  <c r="E30"/>
  <c r="E29"/>
  <c r="E27"/>
  <c r="E22"/>
  <c r="E21"/>
  <c r="E20"/>
  <c r="E19"/>
  <c r="E18"/>
  <c r="E17"/>
  <c r="E15"/>
  <c r="E14"/>
  <c r="E13"/>
  <c r="E11"/>
  <c r="E10"/>
  <c r="B30" i="3"/>
  <c r="E22"/>
  <c r="E27"/>
  <c r="E28"/>
  <c r="E24"/>
  <c r="E23"/>
  <c r="E24" i="2"/>
  <c r="E28"/>
  <c r="E29"/>
  <c r="E35" i="1"/>
  <c r="E25"/>
  <c r="E12"/>
  <c r="E34"/>
  <c r="E33"/>
  <c r="E26"/>
  <c r="E29"/>
  <c r="B36"/>
  <c r="B31" i="2"/>
  <c r="B31" i="3"/>
  <c r="C32" s="1"/>
  <c r="C33" s="1"/>
  <c r="E29"/>
  <c r="E26"/>
  <c r="E25"/>
  <c r="E20"/>
  <c r="E19"/>
  <c r="E18"/>
  <c r="E17"/>
  <c r="E16"/>
  <c r="E15"/>
  <c r="E13"/>
  <c r="E12"/>
  <c r="E11"/>
  <c r="E10"/>
  <c r="E30" i="2"/>
  <c r="E32"/>
  <c r="E11"/>
  <c r="E19"/>
  <c r="E18"/>
  <c r="E22"/>
  <c r="E23"/>
  <c r="E25"/>
  <c r="B32"/>
  <c r="C33" s="1"/>
  <c r="C34" s="1"/>
  <c r="E27"/>
  <c r="E26"/>
  <c r="E20"/>
  <c r="E17"/>
  <c r="E16"/>
  <c r="E15"/>
  <c r="E13"/>
  <c r="E12"/>
  <c r="E10"/>
  <c r="E26" i="12" l="1"/>
  <c r="E3"/>
  <c r="E27" s="1"/>
  <c r="E36" i="11"/>
  <c r="E35" i="10"/>
  <c r="E3" i="11"/>
  <c r="E37" s="1"/>
  <c r="E3" i="10"/>
  <c r="E36" s="1"/>
  <c r="E31" i="9"/>
  <c r="E3"/>
  <c r="E32" s="1"/>
  <c r="E3" i="8"/>
  <c r="E34" s="1"/>
  <c r="E35" i="7"/>
  <c r="E3"/>
  <c r="E36" s="1"/>
  <c r="E35" i="6"/>
  <c r="E36" i="5"/>
  <c r="E30" i="3"/>
  <c r="E31" i="2"/>
  <c r="E28" i="1"/>
  <c r="E22"/>
  <c r="E21"/>
  <c r="E19"/>
  <c r="E11"/>
  <c r="E13"/>
  <c r="E31"/>
  <c r="E27"/>
  <c r="E14"/>
  <c r="E30"/>
  <c r="E32"/>
  <c r="E20"/>
  <c r="E23"/>
  <c r="E17"/>
  <c r="E18"/>
  <c r="E15"/>
  <c r="E10"/>
  <c r="B37"/>
  <c r="C38" s="1"/>
  <c r="C39" s="1"/>
  <c r="E2" i="6"/>
  <c r="E4" i="12" l="1"/>
  <c r="E5" s="1"/>
  <c r="E6" s="1"/>
  <c r="E4" i="11"/>
  <c r="E5" s="1"/>
  <c r="E6" s="1"/>
  <c r="E4" i="10"/>
  <c r="E5" s="1"/>
  <c r="E6" s="1"/>
  <c r="E4" i="9"/>
  <c r="E5" s="1"/>
  <c r="E6" s="1"/>
  <c r="E4" i="8"/>
  <c r="E5" s="1"/>
  <c r="E6" s="1"/>
  <c r="E4" i="7"/>
  <c r="E5" s="1"/>
  <c r="E6" s="1"/>
  <c r="E36" i="1"/>
  <c r="E3" i="6"/>
  <c r="E4" s="1"/>
  <c r="E5" s="1"/>
  <c r="E6" s="1"/>
  <c r="E36" l="1"/>
  <c r="E2" i="5"/>
  <c r="E3" s="1"/>
  <c r="E4" s="1"/>
  <c r="E5" s="1"/>
  <c r="E6" s="1"/>
  <c r="E2" i="4"/>
  <c r="E2" i="3"/>
  <c r="E2" i="2"/>
  <c r="E2" i="1"/>
  <c r="E3" i="4" l="1"/>
  <c r="E4" s="1"/>
  <c r="E5" s="1"/>
  <c r="E6" s="1"/>
  <c r="E35"/>
  <c r="E3" i="3"/>
  <c r="E4" s="1"/>
  <c r="E5" s="1"/>
  <c r="E6" s="1"/>
  <c r="E31"/>
  <c r="E3" i="1"/>
  <c r="E37" s="1"/>
  <c r="E3" i="2"/>
  <c r="E4" s="1"/>
  <c r="E5" s="1"/>
  <c r="E6" s="1"/>
  <c r="E4" i="1" l="1"/>
  <c r="E5" s="1"/>
  <c r="E6" s="1"/>
</calcChain>
</file>

<file path=xl/sharedStrings.xml><?xml version="1.0" encoding="utf-8"?>
<sst xmlns="http://schemas.openxmlformats.org/spreadsheetml/2006/main" count="1217" uniqueCount="362">
  <si>
    <t xml:space="preserve"> ANNUAL ACTION PLAN 2020 - 2021 (NAME OF BLOCK)</t>
  </si>
  <si>
    <t>Wage component</t>
  </si>
  <si>
    <t>Projected Job card</t>
  </si>
  <si>
    <t>Material component</t>
  </si>
  <si>
    <t>Total</t>
  </si>
  <si>
    <t>Admin. Cost</t>
  </si>
  <si>
    <t>G.Total</t>
  </si>
  <si>
    <t>Name of Project</t>
  </si>
  <si>
    <t>Person days to be Generated</t>
  </si>
  <si>
    <t>Name of Work</t>
  </si>
  <si>
    <t>Location</t>
  </si>
  <si>
    <t>Costing                 ( Rs in lakhs)</t>
  </si>
  <si>
    <t>Priority</t>
  </si>
  <si>
    <t>Remarks</t>
  </si>
  <si>
    <t>Work Code</t>
  </si>
  <si>
    <t>CATEGORY - A               PUBLIC WORKS RELATING TO NATURAL RESOURCES MANAGEMENT –</t>
  </si>
  <si>
    <t>Watershed Management Works</t>
  </si>
  <si>
    <t>Staggered Trench</t>
  </si>
  <si>
    <t>Farm Pond</t>
  </si>
  <si>
    <t xml:space="preserve">Water Conservation </t>
  </si>
  <si>
    <t>Check Dam</t>
  </si>
  <si>
    <t>Water Tank</t>
  </si>
  <si>
    <t>Irrigation</t>
  </si>
  <si>
    <t>irrigation canals</t>
  </si>
  <si>
    <t>Traditional Water Bodies</t>
  </si>
  <si>
    <t>Excavation</t>
  </si>
  <si>
    <t>Land Development</t>
  </si>
  <si>
    <t>Bench Terracing</t>
  </si>
  <si>
    <t>CATEGORY - B     COMMUNITY ASSETS OR INDIVIDUAL ASSETS FOR VULNERABLE SECTIONS (ONLY FOR HOUSEHOLDS IN PARAGRAPH 5</t>
  </si>
  <si>
    <t>Improving productivity of lands</t>
  </si>
  <si>
    <t>Improving liveihoods through</t>
  </si>
  <si>
    <t>Vermi Composting</t>
  </si>
  <si>
    <t>Development of fallow/waste lands</t>
  </si>
  <si>
    <t>Development of Waste / Fallow Land</t>
  </si>
  <si>
    <t>Promotion of livestock</t>
  </si>
  <si>
    <t>Piggery Shed</t>
  </si>
  <si>
    <t>Poultry Shelter</t>
  </si>
  <si>
    <t>Promotion of fisheries</t>
  </si>
  <si>
    <t>Excavation of Pond</t>
  </si>
  <si>
    <t>CATEGORY - D                             RURAL INFRASTRUCTURE:</t>
  </si>
  <si>
    <t>Rural sanitation</t>
  </si>
  <si>
    <t>Drainage Channel</t>
  </si>
  <si>
    <t>Road connectivity /   Internal roads/Streets</t>
  </si>
  <si>
    <t>Cement Concrete</t>
  </si>
  <si>
    <t>Cross Drainage</t>
  </si>
  <si>
    <t>Culvert</t>
  </si>
  <si>
    <t>InterLocking Cement Block Road</t>
  </si>
  <si>
    <t>MittiMurram Road</t>
  </si>
  <si>
    <t>Village Drain</t>
  </si>
  <si>
    <t>Play fields</t>
  </si>
  <si>
    <t>Football, Volley Ball Court etc</t>
  </si>
  <si>
    <t>Disaster preparedness/ Restoration</t>
  </si>
  <si>
    <t>Const. of Storm Water Drains</t>
  </si>
  <si>
    <t>Retainig Wall</t>
  </si>
  <si>
    <t>Gabian Wall</t>
  </si>
  <si>
    <t>Construction of bulding</t>
  </si>
  <si>
    <t>Crematorium</t>
  </si>
  <si>
    <t xml:space="preserve">Under Labour Component </t>
  </si>
  <si>
    <t>Lakhs</t>
  </si>
  <si>
    <t xml:space="preserve">Under Material Component </t>
  </si>
  <si>
    <t>OVERALL LABOUR MATERIAL RATIO in the GP in year 2020 - 2021 will be ---     60:40</t>
  </si>
  <si>
    <t>Name of Village : Venglai</t>
  </si>
  <si>
    <t>Name of Village : College veng</t>
  </si>
  <si>
    <t>Name of Village : Vengthar</t>
  </si>
  <si>
    <t>Name of Village : Hmarveng</t>
  </si>
  <si>
    <t>Name of Village : Diakkawn</t>
  </si>
  <si>
    <t>Venglai area</t>
  </si>
  <si>
    <t>College veng area</t>
  </si>
  <si>
    <t>Name of Village : Saidan Tuithaveng</t>
  </si>
  <si>
    <t>Recharge pit</t>
  </si>
  <si>
    <t>Compost pit</t>
  </si>
  <si>
    <t>Saidan Tuithaveng area</t>
  </si>
  <si>
    <t>Hmarveng area</t>
  </si>
  <si>
    <t>Diakkawn area</t>
  </si>
  <si>
    <t>Vengthar area</t>
  </si>
  <si>
    <t>Tumpui area</t>
  </si>
  <si>
    <t>Name of Village : Tumpui</t>
  </si>
  <si>
    <t>New Diakkawn area</t>
  </si>
  <si>
    <t>Boulder flooring</t>
  </si>
  <si>
    <t>Name of Village : New Diakkawn</t>
  </si>
  <si>
    <t>Name of Village : Project veng</t>
  </si>
  <si>
    <t>Footpath</t>
  </si>
  <si>
    <t>Public Toilet</t>
  </si>
  <si>
    <t>Project veng area</t>
  </si>
  <si>
    <t>School toilet</t>
  </si>
  <si>
    <t>Public toilet</t>
  </si>
  <si>
    <t>Name of Village : Rengtekawn</t>
  </si>
  <si>
    <t>Rengtekawn area</t>
  </si>
  <si>
    <t>Thlanmual insak</t>
  </si>
  <si>
    <t>Name of Village : Electric veng</t>
  </si>
  <si>
    <t>Electric veng area</t>
  </si>
  <si>
    <t>Irrigation canal</t>
  </si>
  <si>
    <t>Village haat</t>
  </si>
  <si>
    <t>Drainage channel</t>
  </si>
  <si>
    <t>Interlocking block pavement</t>
  </si>
  <si>
    <t>V.O Building sak</t>
  </si>
  <si>
    <t>Name of Village : N.THinglian</t>
  </si>
  <si>
    <t>N.THinglian area</t>
  </si>
  <si>
    <t>Cement Concrete flooring</t>
  </si>
  <si>
    <t>2205002023/IF/32289</t>
  </si>
  <si>
    <t>2205002023/WC/10749</t>
  </si>
  <si>
    <t>2205002023/WC/10750</t>
  </si>
  <si>
    <t>2205002023/IC/2279</t>
  </si>
  <si>
    <r>
      <t> </t>
    </r>
    <r>
      <rPr>
        <b/>
        <sz val="12"/>
        <color rgb="FF0000FF"/>
        <rFont val="Calibri"/>
        <family val="2"/>
        <scheme val="minor"/>
      </rPr>
      <t>2205002023/WH/3115</t>
    </r>
  </si>
  <si>
    <t>2205002023/IF/32290</t>
  </si>
  <si>
    <t>2205002023/IF/32291</t>
  </si>
  <si>
    <t>2205002023/IF/32292</t>
  </si>
  <si>
    <t>2205002023/IF/32293</t>
  </si>
  <si>
    <t>2205002023/LD/24285</t>
  </si>
  <si>
    <t>2205002023/IF/32294</t>
  </si>
  <si>
    <t>2205002023/IF/32295</t>
  </si>
  <si>
    <t>2205002023/IF/32296</t>
  </si>
  <si>
    <r>
      <t> </t>
    </r>
    <r>
      <rPr>
        <b/>
        <sz val="12"/>
        <color rgb="FF0000FF"/>
        <rFont val="Calibri"/>
        <family val="2"/>
        <scheme val="minor"/>
      </rPr>
      <t>2205002023/RS/8729</t>
    </r>
  </si>
  <si>
    <r>
      <t> </t>
    </r>
    <r>
      <rPr>
        <b/>
        <sz val="12"/>
        <color rgb="FF0000FF"/>
        <rFont val="Calibri"/>
        <family val="2"/>
        <scheme val="minor"/>
      </rPr>
      <t>2205002023/RC/31433</t>
    </r>
  </si>
  <si>
    <t>2205002023/RC/31434</t>
  </si>
  <si>
    <r>
      <t> </t>
    </r>
    <r>
      <rPr>
        <b/>
        <sz val="12"/>
        <color rgb="FF0000FF"/>
        <rFont val="Calibri"/>
        <family val="2"/>
        <scheme val="minor"/>
      </rPr>
      <t>2205002023/FP/23635</t>
    </r>
  </si>
  <si>
    <t>2205002023/RC/31435</t>
  </si>
  <si>
    <t>2205002023/RC/31436</t>
  </si>
  <si>
    <t>2205002023/RC/31437</t>
  </si>
  <si>
    <t>2205002023/LD/24291</t>
  </si>
  <si>
    <t>2205002023/FP/23639</t>
  </si>
  <si>
    <r>
      <t> </t>
    </r>
    <r>
      <rPr>
        <b/>
        <sz val="12"/>
        <color rgb="FF0000FF"/>
        <rFont val="Calibri"/>
        <family val="2"/>
        <scheme val="minor"/>
      </rPr>
      <t>2205002023/FP/23640</t>
    </r>
  </si>
  <si>
    <t>2205002023/FP/23641</t>
  </si>
  <si>
    <t>2205002029/IF/32344</t>
  </si>
  <si>
    <t>2205002029/WC/10779</t>
  </si>
  <si>
    <t>2205002029/WH/3117</t>
  </si>
  <si>
    <t>2205002029/IF/32345</t>
  </si>
  <si>
    <t>2205002029/IF/32346</t>
  </si>
  <si>
    <t>2205002029/LD/24312</t>
  </si>
  <si>
    <t>2205002029/LD/24313</t>
  </si>
  <si>
    <t>2205002029/IF/32347</t>
  </si>
  <si>
    <r>
      <t> </t>
    </r>
    <r>
      <rPr>
        <b/>
        <sz val="12"/>
        <color rgb="FF0000FF"/>
        <rFont val="Calibri"/>
        <family val="2"/>
        <scheme val="minor"/>
      </rPr>
      <t>2205002029/IF/32348</t>
    </r>
  </si>
  <si>
    <t>2205002029/IF/32349</t>
  </si>
  <si>
    <r>
      <t> </t>
    </r>
    <r>
      <rPr>
        <b/>
        <sz val="12"/>
        <color rgb="FF0000FF"/>
        <rFont val="Calibri"/>
        <family val="2"/>
        <scheme val="minor"/>
      </rPr>
      <t>2205002029/RS/8738</t>
    </r>
  </si>
  <si>
    <r>
      <t> </t>
    </r>
    <r>
      <rPr>
        <b/>
        <sz val="12"/>
        <color rgb="FF0000FF"/>
        <rFont val="Calibri"/>
        <family val="2"/>
        <scheme val="minor"/>
      </rPr>
      <t>2205002029/RC/31474</t>
    </r>
  </si>
  <si>
    <t>Slab Culvert</t>
  </si>
  <si>
    <t>2205002029/FP/23656</t>
  </si>
  <si>
    <t>2205002029/RC/31475</t>
  </si>
  <si>
    <t>2205002029/RC/31476</t>
  </si>
  <si>
    <r>
      <t> </t>
    </r>
    <r>
      <rPr>
        <b/>
        <sz val="12"/>
        <color rgb="FF0000FF"/>
        <rFont val="Calibri"/>
        <family val="2"/>
        <scheme val="minor"/>
      </rPr>
      <t>2205002029/LD/24314</t>
    </r>
  </si>
  <si>
    <t>2205002029/FP/23657</t>
  </si>
  <si>
    <t>2205002029/FP/23658</t>
  </si>
  <si>
    <t>2205002029/FP/23659</t>
  </si>
  <si>
    <t>2205002025/IF/32350</t>
  </si>
  <si>
    <r>
      <t> </t>
    </r>
    <r>
      <rPr>
        <b/>
        <sz val="12"/>
        <color rgb="FF0000FF"/>
        <rFont val="Calibri"/>
        <family val="2"/>
        <scheme val="minor"/>
      </rPr>
      <t>2205002025/WC/10780</t>
    </r>
  </si>
  <si>
    <r>
      <t> </t>
    </r>
    <r>
      <rPr>
        <b/>
        <sz val="12"/>
        <color rgb="FF0000FF"/>
        <rFont val="Calibri"/>
        <family val="2"/>
        <scheme val="minor"/>
      </rPr>
      <t>2205002025/WH/3118</t>
    </r>
  </si>
  <si>
    <r>
      <t> </t>
    </r>
    <r>
      <rPr>
        <b/>
        <sz val="12"/>
        <color rgb="FF0000FF"/>
        <rFont val="Calibri"/>
        <family val="2"/>
        <scheme val="minor"/>
      </rPr>
      <t>2205002025/IF/32351</t>
    </r>
  </si>
  <si>
    <t>2205002025/IF/32352</t>
  </si>
  <si>
    <t>2205002025/IF/32353</t>
  </si>
  <si>
    <r>
      <t> </t>
    </r>
    <r>
      <rPr>
        <b/>
        <sz val="12"/>
        <color rgb="FF0000FF"/>
        <rFont val="Calibri"/>
        <family val="2"/>
        <scheme val="minor"/>
      </rPr>
      <t>2205002025/IF/32354</t>
    </r>
  </si>
  <si>
    <t>2205002025/IF/32355</t>
  </si>
  <si>
    <t>2205002025/IF/32356</t>
  </si>
  <si>
    <t>2205002025/FR/23271</t>
  </si>
  <si>
    <r>
      <t> </t>
    </r>
    <r>
      <rPr>
        <b/>
        <sz val="12"/>
        <color rgb="FF0000FF"/>
        <rFont val="Calibri"/>
        <family val="2"/>
        <scheme val="minor"/>
      </rPr>
      <t>2205002025/RS/8739</t>
    </r>
  </si>
  <si>
    <r>
      <t>  </t>
    </r>
    <r>
      <rPr>
        <b/>
        <sz val="12"/>
        <color rgb="FF0000FF"/>
        <rFont val="Calibri"/>
        <family val="2"/>
        <scheme val="minor"/>
      </rPr>
      <t>2205002025/RC/31477</t>
    </r>
  </si>
  <si>
    <t>2205002025/FP/23660</t>
  </si>
  <si>
    <r>
      <t> </t>
    </r>
    <r>
      <rPr>
        <b/>
        <sz val="12"/>
        <color rgb="FF0000FF"/>
        <rFont val="Calibri"/>
        <family val="2"/>
        <scheme val="minor"/>
      </rPr>
      <t>2205002025/RC/31478</t>
    </r>
  </si>
  <si>
    <r>
      <t> </t>
    </r>
    <r>
      <rPr>
        <b/>
        <sz val="12"/>
        <color rgb="FF0000FF"/>
        <rFont val="Calibri"/>
        <family val="2"/>
        <scheme val="minor"/>
      </rPr>
      <t>2205002025/LD/24315</t>
    </r>
  </si>
  <si>
    <t>2205002025/FP/23661</t>
  </si>
  <si>
    <t>2205002025/FP/23662</t>
  </si>
  <si>
    <t>2205002025/FP/23663</t>
  </si>
  <si>
    <t>2205002026/IF/32411</t>
  </si>
  <si>
    <r>
      <t> </t>
    </r>
    <r>
      <rPr>
        <b/>
        <sz val="12"/>
        <color rgb="FF0000FF"/>
        <rFont val="Calibri"/>
        <family val="2"/>
        <scheme val="minor"/>
      </rPr>
      <t>2205002026/WC/10793</t>
    </r>
  </si>
  <si>
    <t>2205002026/WC/10794</t>
  </si>
  <si>
    <r>
      <t> </t>
    </r>
    <r>
      <rPr>
        <b/>
        <sz val="12"/>
        <color rgb="FF0000FF"/>
        <rFont val="Calibri"/>
        <family val="2"/>
        <scheme val="minor"/>
      </rPr>
      <t>2205002026/IC/2283</t>
    </r>
  </si>
  <si>
    <r>
      <t> </t>
    </r>
    <r>
      <rPr>
        <b/>
        <sz val="12"/>
        <color rgb="FF0000FF"/>
        <rFont val="Calibri"/>
        <family val="2"/>
        <scheme val="minor"/>
      </rPr>
      <t>2205002026/WH/3119</t>
    </r>
  </si>
  <si>
    <t>2205002026/IF/32414</t>
  </si>
  <si>
    <r>
      <t> </t>
    </r>
    <r>
      <rPr>
        <b/>
        <sz val="12"/>
        <color rgb="FF0000FF"/>
        <rFont val="Calibri"/>
        <family val="2"/>
        <scheme val="minor"/>
      </rPr>
      <t>2205002026/IF/32415</t>
    </r>
  </si>
  <si>
    <t>2205002026/IF/32416</t>
  </si>
  <si>
    <t>2205002026/IF/32417</t>
  </si>
  <si>
    <t>2205002026/IF/32418</t>
  </si>
  <si>
    <t>2205002026/IF/32419</t>
  </si>
  <si>
    <t>2205002026/FR/23277</t>
  </si>
  <si>
    <r>
      <t> </t>
    </r>
    <r>
      <rPr>
        <b/>
        <sz val="12"/>
        <color rgb="FF0000FF"/>
        <rFont val="Calibri"/>
        <family val="2"/>
        <scheme val="minor"/>
      </rPr>
      <t>2205002026/RS/8747</t>
    </r>
  </si>
  <si>
    <t>2205002026/RS/8748</t>
  </si>
  <si>
    <r>
      <t> </t>
    </r>
    <r>
      <rPr>
        <b/>
        <sz val="12"/>
        <color rgb="FF0000FF"/>
        <rFont val="Calibri"/>
        <family val="2"/>
        <scheme val="minor"/>
      </rPr>
      <t>2205002026/RC/31496</t>
    </r>
  </si>
  <si>
    <t>2205002026/FP/23674</t>
  </si>
  <si>
    <t>2205002026/FP/23675</t>
  </si>
  <si>
    <r>
      <t> </t>
    </r>
    <r>
      <rPr>
        <b/>
        <sz val="12"/>
        <color rgb="FF0000FF"/>
        <rFont val="Calibri"/>
        <family val="2"/>
        <scheme val="minor"/>
      </rPr>
      <t>2205002026/RC/31497</t>
    </r>
  </si>
  <si>
    <t>2205002026/RC/31498</t>
  </si>
  <si>
    <r>
      <t> </t>
    </r>
    <r>
      <rPr>
        <b/>
        <sz val="12"/>
        <color rgb="FF0000FF"/>
        <rFont val="Calibri"/>
        <family val="2"/>
        <scheme val="minor"/>
      </rPr>
      <t>2205002026/LD/24327</t>
    </r>
  </si>
  <si>
    <t>2205002026/FP/23676</t>
  </si>
  <si>
    <t>2205002026/FP/23677</t>
  </si>
  <si>
    <t>2205002022/IF/32426</t>
  </si>
  <si>
    <t>2205002022/WC/10795</t>
  </si>
  <si>
    <r>
      <t> </t>
    </r>
    <r>
      <rPr>
        <b/>
        <sz val="12"/>
        <color rgb="FF0000FF"/>
        <rFont val="Calibri"/>
        <family val="2"/>
        <scheme val="minor"/>
      </rPr>
      <t>2205002022/WC/10796</t>
    </r>
  </si>
  <si>
    <t>2205002022/IC/2284</t>
  </si>
  <si>
    <t>2205002022/WH/3120</t>
  </si>
  <si>
    <t>2205002022/IF/32428</t>
  </si>
  <si>
    <r>
      <t> </t>
    </r>
    <r>
      <rPr>
        <b/>
        <sz val="12"/>
        <color rgb="FF0000FF"/>
        <rFont val="Calibri"/>
        <family val="2"/>
        <scheme val="minor"/>
      </rPr>
      <t>2205002022/IF/32429</t>
    </r>
  </si>
  <si>
    <t>2205002022/IF/32430</t>
  </si>
  <si>
    <t>2205002022/IF/32431</t>
  </si>
  <si>
    <t>2205002022/IF/32433</t>
  </si>
  <si>
    <t>2205002022/IF/32434</t>
  </si>
  <si>
    <r>
      <t> </t>
    </r>
    <r>
      <rPr>
        <b/>
        <sz val="12"/>
        <color rgb="FF0000FF"/>
        <rFont val="Calibri"/>
        <family val="2"/>
        <scheme val="minor"/>
      </rPr>
      <t>2205002022/IF/32435</t>
    </r>
  </si>
  <si>
    <t>2205002022/IF/32436</t>
  </si>
  <si>
    <r>
      <t> </t>
    </r>
    <r>
      <rPr>
        <b/>
        <sz val="12"/>
        <color rgb="FF0000FF"/>
        <rFont val="Calibri"/>
        <family val="2"/>
        <scheme val="minor"/>
      </rPr>
      <t>2205002022/RS/8750</t>
    </r>
  </si>
  <si>
    <t>2205002022/RC/31501</t>
  </si>
  <si>
    <t>2205002022/FP/23678</t>
  </si>
  <si>
    <r>
      <t> </t>
    </r>
    <r>
      <rPr>
        <b/>
        <sz val="12"/>
        <color rgb="FF0000FF"/>
        <rFont val="Calibri"/>
        <family val="2"/>
        <scheme val="minor"/>
      </rPr>
      <t>2205002022/FP/23679</t>
    </r>
  </si>
  <si>
    <t>2205002022/RC/31502</t>
  </si>
  <si>
    <r>
      <t> </t>
    </r>
    <r>
      <rPr>
        <b/>
        <sz val="12"/>
        <color rgb="FF0000FF"/>
        <rFont val="Calibri"/>
        <family val="2"/>
        <scheme val="minor"/>
      </rPr>
      <t>2205002022/RC/31503</t>
    </r>
  </si>
  <si>
    <t>2205002022/FP/23680</t>
  </si>
  <si>
    <t>2205002022/LD/24328</t>
  </si>
  <si>
    <r>
      <t> </t>
    </r>
    <r>
      <rPr>
        <b/>
        <sz val="12"/>
        <color rgb="FF0000FF"/>
        <rFont val="Calibri"/>
        <family val="2"/>
        <scheme val="minor"/>
      </rPr>
      <t>2205002022/FP/23681</t>
    </r>
  </si>
  <si>
    <t>2205002022/FP/23682</t>
  </si>
  <si>
    <t>2205002022/FP/23683</t>
  </si>
  <si>
    <r>
      <t> </t>
    </r>
    <r>
      <rPr>
        <b/>
        <sz val="12"/>
        <color rgb="FF0000FF"/>
        <rFont val="Calibri"/>
        <family val="2"/>
        <scheme val="minor"/>
      </rPr>
      <t>2205002024/IF/32491</t>
    </r>
  </si>
  <si>
    <t>2205002024/WC/10835</t>
  </si>
  <si>
    <r>
      <t> </t>
    </r>
    <r>
      <rPr>
        <b/>
        <sz val="12"/>
        <color rgb="FF0000FF"/>
        <rFont val="Calibri"/>
        <family val="2"/>
        <scheme val="minor"/>
      </rPr>
      <t>2205002024/WC/10836</t>
    </r>
  </si>
  <si>
    <r>
      <t> </t>
    </r>
    <r>
      <rPr>
        <b/>
        <sz val="12"/>
        <color rgb="FF0000FF"/>
        <rFont val="Calibri"/>
        <family val="2"/>
        <scheme val="minor"/>
      </rPr>
      <t>2205002024/IC/2288</t>
    </r>
  </si>
  <si>
    <t>2205002024/WH/3128</t>
  </si>
  <si>
    <r>
      <t> </t>
    </r>
    <r>
      <rPr>
        <b/>
        <sz val="12"/>
        <color rgb="FF0000FF"/>
        <rFont val="Calibri"/>
        <family val="2"/>
        <scheme val="minor"/>
      </rPr>
      <t>2205002024/IF/32493</t>
    </r>
  </si>
  <si>
    <t>2205002024/IF/32494</t>
  </si>
  <si>
    <t>2205002024/IF/32495</t>
  </si>
  <si>
    <r>
      <t> </t>
    </r>
    <r>
      <rPr>
        <b/>
        <sz val="12"/>
        <color rgb="FF0000FF"/>
        <rFont val="Calibri"/>
        <family val="2"/>
        <scheme val="minor"/>
      </rPr>
      <t>2205002024/IF/32496</t>
    </r>
  </si>
  <si>
    <r>
      <t> </t>
    </r>
    <r>
      <rPr>
        <b/>
        <sz val="12"/>
        <color rgb="FF0000FF"/>
        <rFont val="Calibri"/>
        <family val="2"/>
        <scheme val="minor"/>
      </rPr>
      <t>2205002024/IF/32497</t>
    </r>
  </si>
  <si>
    <r>
      <t> </t>
    </r>
    <r>
      <rPr>
        <b/>
        <sz val="12"/>
        <color rgb="FF0000FF"/>
        <rFont val="Calibri"/>
        <family val="2"/>
        <scheme val="minor"/>
      </rPr>
      <t>2205002024/IF/32498</t>
    </r>
  </si>
  <si>
    <r>
      <t> </t>
    </r>
    <r>
      <rPr>
        <b/>
        <sz val="12"/>
        <color rgb="FF0000FF"/>
        <rFont val="Calibri"/>
        <family val="2"/>
        <scheme val="minor"/>
      </rPr>
      <t>2205002024/IF/32499</t>
    </r>
  </si>
  <si>
    <r>
      <t> </t>
    </r>
    <r>
      <rPr>
        <b/>
        <sz val="12"/>
        <color rgb="FF0000FF"/>
        <rFont val="Calibri"/>
        <family val="2"/>
        <scheme val="minor"/>
      </rPr>
      <t>2205002024/RS/8765</t>
    </r>
  </si>
  <si>
    <t>2205002024/RC/31545</t>
  </si>
  <si>
    <r>
      <t> </t>
    </r>
    <r>
      <rPr>
        <b/>
        <sz val="12"/>
        <color rgb="FF0000FF"/>
        <rFont val="Calibri"/>
        <family val="2"/>
        <scheme val="minor"/>
      </rPr>
      <t>2205002024/FP/23686</t>
    </r>
  </si>
  <si>
    <r>
      <t> </t>
    </r>
    <r>
      <rPr>
        <b/>
        <sz val="12"/>
        <color rgb="FF0000FF"/>
        <rFont val="Calibri"/>
        <family val="2"/>
        <scheme val="minor"/>
      </rPr>
      <t>2205002024/FP/23687</t>
    </r>
  </si>
  <si>
    <t>2205002024/RC/31547</t>
  </si>
  <si>
    <t>2205002024/RC/31548</t>
  </si>
  <si>
    <t>2205002024/FP/23688</t>
  </si>
  <si>
    <r>
      <t> </t>
    </r>
    <r>
      <rPr>
        <b/>
        <sz val="12"/>
        <color rgb="FF0000FF"/>
        <rFont val="Calibri"/>
        <family val="2"/>
        <scheme val="minor"/>
      </rPr>
      <t>2205002024/LD/24356</t>
    </r>
  </si>
  <si>
    <r>
      <t> </t>
    </r>
    <r>
      <rPr>
        <b/>
        <sz val="12"/>
        <color rgb="FF0000FF"/>
        <rFont val="Calibri"/>
        <family val="2"/>
        <scheme val="minor"/>
      </rPr>
      <t>2205002024/FP/23689</t>
    </r>
  </si>
  <si>
    <t>2205002024/FP/23690</t>
  </si>
  <si>
    <t>2205002024/FP/23691</t>
  </si>
  <si>
    <t>2205002028/IF/32500</t>
  </si>
  <si>
    <r>
      <t> </t>
    </r>
    <r>
      <rPr>
        <b/>
        <sz val="12"/>
        <color rgb="FF0000FF"/>
        <rFont val="Calibri"/>
        <family val="2"/>
        <scheme val="minor"/>
      </rPr>
      <t>2205002028/WC/10838</t>
    </r>
  </si>
  <si>
    <t>2205002028/WC/10839</t>
  </si>
  <si>
    <r>
      <t> </t>
    </r>
    <r>
      <rPr>
        <b/>
        <sz val="12"/>
        <color rgb="FF0000FF"/>
        <rFont val="Calibri"/>
        <family val="2"/>
        <scheme val="minor"/>
      </rPr>
      <t>2205002028/IC/2290</t>
    </r>
  </si>
  <si>
    <r>
      <t> </t>
    </r>
    <r>
      <rPr>
        <b/>
        <sz val="12"/>
        <color rgb="FF0000FF"/>
        <rFont val="Calibri"/>
        <family val="2"/>
        <scheme val="minor"/>
      </rPr>
      <t>2205002028/WH/3129</t>
    </r>
  </si>
  <si>
    <t>2205002028/IF/32501</t>
  </si>
  <si>
    <t>2205002028/IF/32502</t>
  </si>
  <si>
    <t>2205002028/IF/32503</t>
  </si>
  <si>
    <r>
      <t> </t>
    </r>
    <r>
      <rPr>
        <b/>
        <sz val="12"/>
        <color rgb="FF0000FF"/>
        <rFont val="Calibri"/>
        <family val="2"/>
        <scheme val="minor"/>
      </rPr>
      <t>2205002028/IF/32504</t>
    </r>
  </si>
  <si>
    <t>2205002028/IF/32505</t>
  </si>
  <si>
    <t>2205002028/IF/32506</t>
  </si>
  <si>
    <t>2205002028/FR/23290</t>
  </si>
  <si>
    <r>
      <t> </t>
    </r>
    <r>
      <rPr>
        <b/>
        <sz val="12"/>
        <color rgb="FF0000FF"/>
        <rFont val="Calibri"/>
        <family val="2"/>
        <scheme val="minor"/>
      </rPr>
      <t>2205002028/RS/8766</t>
    </r>
  </si>
  <si>
    <r>
      <t> </t>
    </r>
    <r>
      <rPr>
        <b/>
        <sz val="12"/>
        <color rgb="FF0000FF"/>
        <rFont val="Calibri"/>
        <family val="2"/>
        <scheme val="minor"/>
      </rPr>
      <t>2205002028/RC/31549</t>
    </r>
  </si>
  <si>
    <r>
      <t> </t>
    </r>
    <r>
      <rPr>
        <b/>
        <sz val="12"/>
        <color rgb="FF0000FF"/>
        <rFont val="Calibri"/>
        <family val="2"/>
        <scheme val="minor"/>
      </rPr>
      <t>2205002028/FP/23692</t>
    </r>
  </si>
  <si>
    <t>2205002028/FP/23693</t>
  </si>
  <si>
    <t>2205002028/RC/31550</t>
  </si>
  <si>
    <t>2205002028/RC/31551</t>
  </si>
  <si>
    <t>2205002028/FP/23694</t>
  </si>
  <si>
    <t>2205002028/LD/24357</t>
  </si>
  <si>
    <t>2205002028/FP/23695</t>
  </si>
  <si>
    <t>2205002028/FP/23696</t>
  </si>
  <si>
    <t>2205002028/FP/23697</t>
  </si>
  <si>
    <t>2205002027/IF/32507</t>
  </si>
  <si>
    <t>2205002027/WC/10840</t>
  </si>
  <si>
    <t>2205002027/WH/3130</t>
  </si>
  <si>
    <r>
      <t> </t>
    </r>
    <r>
      <rPr>
        <b/>
        <sz val="12"/>
        <color rgb="FF0000FF"/>
        <rFont val="Calibri"/>
        <family val="2"/>
        <scheme val="minor"/>
      </rPr>
      <t>2205002027/IF/32508</t>
    </r>
  </si>
  <si>
    <r>
      <t> </t>
    </r>
    <r>
      <rPr>
        <b/>
        <sz val="12"/>
        <color rgb="FF0000FF"/>
        <rFont val="Calibri"/>
        <family val="2"/>
        <scheme val="minor"/>
      </rPr>
      <t>2205002027/IF/32509</t>
    </r>
  </si>
  <si>
    <r>
      <t> </t>
    </r>
    <r>
      <rPr>
        <b/>
        <sz val="12"/>
        <color rgb="FF0000FF"/>
        <rFont val="Calibri"/>
        <family val="2"/>
        <scheme val="minor"/>
      </rPr>
      <t>2205002027/IF/32510</t>
    </r>
  </si>
  <si>
    <r>
      <t> </t>
    </r>
    <r>
      <rPr>
        <b/>
        <sz val="12"/>
        <color rgb="FF0000FF"/>
        <rFont val="Calibri"/>
        <family val="2"/>
        <scheme val="minor"/>
      </rPr>
      <t>2205002027/IF/32511</t>
    </r>
  </si>
  <si>
    <t>2205002027/IF/32512</t>
  </si>
  <si>
    <t>2205002027/IF/32513</t>
  </si>
  <si>
    <r>
      <t> </t>
    </r>
    <r>
      <rPr>
        <b/>
        <sz val="12"/>
        <color rgb="FF0000FF"/>
        <rFont val="Calibri"/>
        <family val="2"/>
        <scheme val="minor"/>
      </rPr>
      <t>2205002027/FR/23291</t>
    </r>
  </si>
  <si>
    <t>2205002027/RS/8767</t>
  </si>
  <si>
    <t>2205002027/RC/31552</t>
  </si>
  <si>
    <t>2205002027/RC/31553</t>
  </si>
  <si>
    <r>
      <t> </t>
    </r>
    <r>
      <rPr>
        <b/>
        <sz val="12"/>
        <color rgb="FF0000FF"/>
        <rFont val="Calibri"/>
        <family val="2"/>
        <scheme val="minor"/>
      </rPr>
      <t>2205002027/RC/31554</t>
    </r>
  </si>
  <si>
    <r>
      <t> </t>
    </r>
    <r>
      <rPr>
        <b/>
        <sz val="12"/>
        <color rgb="FF0000FF"/>
        <rFont val="Calibri"/>
        <family val="2"/>
        <scheme val="minor"/>
      </rPr>
      <t>2205002027/FP/23698</t>
    </r>
  </si>
  <si>
    <t>2205002027/RC/31555</t>
  </si>
  <si>
    <r>
      <t> </t>
    </r>
    <r>
      <rPr>
        <b/>
        <sz val="12"/>
        <color rgb="FF0000FF"/>
        <rFont val="Calibri"/>
        <family val="2"/>
        <scheme val="minor"/>
      </rPr>
      <t>2205002027/LD/24358</t>
    </r>
  </si>
  <si>
    <t>2205002027/FP/23699</t>
  </si>
  <si>
    <r>
      <t> </t>
    </r>
    <r>
      <rPr>
        <b/>
        <sz val="12"/>
        <color rgb="FF0000FF"/>
        <rFont val="Calibri"/>
        <family val="2"/>
        <scheme val="minor"/>
      </rPr>
      <t>2205002027/FP/23700</t>
    </r>
  </si>
  <si>
    <r>
      <t> </t>
    </r>
    <r>
      <rPr>
        <b/>
        <sz val="12"/>
        <color rgb="FF0000FF"/>
        <rFont val="Calibri"/>
        <family val="2"/>
        <scheme val="minor"/>
      </rPr>
      <t>2205002027/FP/23701</t>
    </r>
  </si>
  <si>
    <t>2205002027/AV/2570</t>
  </si>
  <si>
    <t>2205002030/IF/32614</t>
  </si>
  <si>
    <r>
      <t> </t>
    </r>
    <r>
      <rPr>
        <b/>
        <sz val="12"/>
        <color rgb="FF0000FF"/>
        <rFont val="Calibri"/>
        <family val="2"/>
        <scheme val="minor"/>
      </rPr>
      <t>2205002030/WC/10865</t>
    </r>
  </si>
  <si>
    <t>2205002030/WH/3136</t>
  </si>
  <si>
    <r>
      <t> </t>
    </r>
    <r>
      <rPr>
        <b/>
        <sz val="12"/>
        <color rgb="FF0000FF"/>
        <rFont val="Calibri"/>
        <family val="2"/>
        <scheme val="minor"/>
      </rPr>
      <t>2205002030/IF/32615</t>
    </r>
  </si>
  <si>
    <r>
      <t> </t>
    </r>
    <r>
      <rPr>
        <b/>
        <sz val="12"/>
        <color rgb="FF0000FF"/>
        <rFont val="Calibri"/>
        <family val="2"/>
        <scheme val="minor"/>
      </rPr>
      <t>2205002030/IF/32616</t>
    </r>
  </si>
  <si>
    <t>2205002030/IF/32617</t>
  </si>
  <si>
    <t>2205002030/IF/32618</t>
  </si>
  <si>
    <r>
      <t> </t>
    </r>
    <r>
      <rPr>
        <b/>
        <sz val="12"/>
        <color rgb="FF0000FF"/>
        <rFont val="Calibri"/>
        <family val="2"/>
        <scheme val="minor"/>
      </rPr>
      <t>2205002030/IF/32619</t>
    </r>
  </si>
  <si>
    <r>
      <t> </t>
    </r>
    <r>
      <rPr>
        <b/>
        <sz val="12"/>
        <color rgb="FF0000FF"/>
        <rFont val="Calibri"/>
        <family val="2"/>
        <scheme val="minor"/>
      </rPr>
      <t>2205002030/IF/32620</t>
    </r>
  </si>
  <si>
    <t>2205002030/FR/23300</t>
  </si>
  <si>
    <r>
      <t> </t>
    </r>
    <r>
      <rPr>
        <b/>
        <sz val="12"/>
        <color rgb="FF0000FF"/>
        <rFont val="Calibri"/>
        <family val="2"/>
        <scheme val="minor"/>
      </rPr>
      <t>2205002030/RS/8781</t>
    </r>
  </si>
  <si>
    <r>
      <t> </t>
    </r>
    <r>
      <rPr>
        <b/>
        <sz val="12"/>
        <color rgb="FF0000FF"/>
        <rFont val="Calibri"/>
        <family val="2"/>
        <scheme val="minor"/>
      </rPr>
      <t>2205002030/RC/31585</t>
    </r>
  </si>
  <si>
    <r>
      <t> </t>
    </r>
    <r>
      <rPr>
        <b/>
        <sz val="12"/>
        <color rgb="FF0000FF"/>
        <rFont val="Calibri"/>
        <family val="2"/>
        <scheme val="minor"/>
      </rPr>
      <t>2205002030/RC/31586</t>
    </r>
  </si>
  <si>
    <t>2205002030/FP/23706</t>
  </si>
  <si>
    <t>2205002030/RC/31589</t>
  </si>
  <si>
    <r>
      <t> </t>
    </r>
    <r>
      <rPr>
        <b/>
        <sz val="12"/>
        <color rgb="FF0000FF"/>
        <rFont val="Calibri"/>
        <family val="2"/>
        <scheme val="minor"/>
      </rPr>
      <t>2205002030/LD/24373</t>
    </r>
  </si>
  <si>
    <t>2205002030/FP/23707</t>
  </si>
  <si>
    <t>2205002030/FP/23708</t>
  </si>
  <si>
    <t>2205002030/FP/23709</t>
  </si>
  <si>
    <t>2205002032/IF/32621</t>
  </si>
  <si>
    <r>
      <t> </t>
    </r>
    <r>
      <rPr>
        <b/>
        <sz val="12"/>
        <color rgb="FF0000FF"/>
        <rFont val="Calibri"/>
        <family val="2"/>
        <scheme val="minor"/>
      </rPr>
      <t>2205002032/WC/10866</t>
    </r>
  </si>
  <si>
    <t>2205002032/IC/2293</t>
  </si>
  <si>
    <r>
      <t> </t>
    </r>
    <r>
      <rPr>
        <b/>
        <sz val="12"/>
        <color rgb="FF0000FF"/>
        <rFont val="Calibri"/>
        <family val="2"/>
        <scheme val="minor"/>
      </rPr>
      <t>2205002032/WH/3137</t>
    </r>
  </si>
  <si>
    <r>
      <t> </t>
    </r>
    <r>
      <rPr>
        <b/>
        <sz val="12"/>
        <color rgb="FF0000FF"/>
        <rFont val="Calibri"/>
        <family val="2"/>
        <scheme val="minor"/>
      </rPr>
      <t>2205002032/IF/32624</t>
    </r>
  </si>
  <si>
    <t>2205002032/IF/32625</t>
  </si>
  <si>
    <r>
      <t> </t>
    </r>
    <r>
      <rPr>
        <b/>
        <sz val="12"/>
        <color rgb="FF0000FF"/>
        <rFont val="Calibri"/>
        <family val="2"/>
        <scheme val="minor"/>
      </rPr>
      <t>2205002032/IF/32626</t>
    </r>
  </si>
  <si>
    <t>2205002032/IF/32627</t>
  </si>
  <si>
    <r>
      <t> </t>
    </r>
    <r>
      <rPr>
        <b/>
        <sz val="12"/>
        <color rgb="FF0000FF"/>
        <rFont val="Calibri"/>
        <family val="2"/>
        <scheme val="minor"/>
      </rPr>
      <t>2205002032/IF/32628</t>
    </r>
  </si>
  <si>
    <t>2205002032/LD/24374</t>
  </si>
  <si>
    <r>
      <t> </t>
    </r>
    <r>
      <rPr>
        <b/>
        <sz val="12"/>
        <color rgb="FF0000FF"/>
        <rFont val="Calibri"/>
        <family val="2"/>
        <scheme val="minor"/>
      </rPr>
      <t>2205002032/FR/23301</t>
    </r>
  </si>
  <si>
    <r>
      <t> </t>
    </r>
    <r>
      <rPr>
        <b/>
        <sz val="12"/>
        <color rgb="FF0000FF"/>
        <rFont val="Calibri"/>
        <family val="2"/>
        <scheme val="minor"/>
      </rPr>
      <t>2205002032/FP/23710</t>
    </r>
  </si>
  <si>
    <r>
      <t> </t>
    </r>
    <r>
      <rPr>
        <b/>
        <sz val="12"/>
        <color rgb="FF0000FF"/>
        <rFont val="Calibri"/>
        <family val="2"/>
        <scheme val="minor"/>
      </rPr>
      <t>2205002032/RS/8782</t>
    </r>
  </si>
  <si>
    <t>2205002032/RC/31592</t>
  </si>
  <si>
    <t>2205002032/RC/31593</t>
  </si>
  <si>
    <t>2205002032/FP/23711</t>
  </si>
  <si>
    <t>2205002032/RC/31594</t>
  </si>
  <si>
    <r>
      <t> </t>
    </r>
    <r>
      <rPr>
        <b/>
        <sz val="12"/>
        <color rgb="FF0000FF"/>
        <rFont val="Calibri"/>
        <family val="2"/>
        <scheme val="minor"/>
      </rPr>
      <t>2205002032/RC/31595</t>
    </r>
  </si>
  <si>
    <t>2205002032/LD/24375</t>
  </si>
  <si>
    <t>2205002032/FP/23712</t>
  </si>
  <si>
    <r>
      <t> </t>
    </r>
    <r>
      <rPr>
        <b/>
        <sz val="12"/>
        <color rgb="FF0000FF"/>
        <rFont val="Calibri"/>
        <family val="2"/>
        <scheme val="minor"/>
      </rPr>
      <t>2205002032/FP/23713</t>
    </r>
  </si>
  <si>
    <t>2205002032/AV/2593</t>
  </si>
  <si>
    <t>2205002032/AV/2594</t>
  </si>
  <si>
    <t>2205002021/IF/32658</t>
  </si>
  <si>
    <t>2205002021/WC/10872</t>
  </si>
  <si>
    <t>2205002021/WH/3140</t>
  </si>
  <si>
    <r>
      <t> </t>
    </r>
    <r>
      <rPr>
        <b/>
        <sz val="12"/>
        <color rgb="FF0000FF"/>
        <rFont val="Calibri"/>
        <family val="2"/>
        <scheme val="minor"/>
      </rPr>
      <t>2205002021/IF/32659</t>
    </r>
  </si>
  <si>
    <r>
      <t> </t>
    </r>
    <r>
      <rPr>
        <b/>
        <sz val="12"/>
        <color rgb="FF0000FF"/>
        <rFont val="Calibri"/>
        <family val="2"/>
        <scheme val="minor"/>
      </rPr>
      <t>2205002021/IF/32660</t>
    </r>
  </si>
  <si>
    <t>2205002021/IF/32661</t>
  </si>
  <si>
    <r>
      <t> </t>
    </r>
    <r>
      <rPr>
        <b/>
        <sz val="12"/>
        <color rgb="FF0000FF"/>
        <rFont val="Calibri"/>
        <family val="2"/>
        <scheme val="minor"/>
      </rPr>
      <t>2205002021/IF/32662</t>
    </r>
  </si>
  <si>
    <t>2205002021/IF/32663</t>
  </si>
  <si>
    <t>2205002021/IF/32664</t>
  </si>
  <si>
    <t>2205002021/FR/23307</t>
  </si>
  <si>
    <t>2205002021/RS/8785</t>
  </si>
  <si>
    <t>2205002021/RS/8786</t>
  </si>
  <si>
    <r>
      <t> </t>
    </r>
    <r>
      <rPr>
        <b/>
        <sz val="12"/>
        <color rgb="FF0000FF"/>
        <rFont val="Calibri"/>
        <family val="2"/>
        <scheme val="minor"/>
      </rPr>
      <t>2205002021/RC/31656</t>
    </r>
  </si>
  <si>
    <t>2205002021/RC/31657</t>
  </si>
  <si>
    <r>
      <t> </t>
    </r>
    <r>
      <rPr>
        <b/>
        <sz val="12"/>
        <color rgb="FF0000FF"/>
        <rFont val="Calibri"/>
        <family val="2"/>
        <scheme val="minor"/>
      </rPr>
      <t>2205002021/FP/23720</t>
    </r>
  </si>
  <si>
    <t>2205002021/RC/31658</t>
  </si>
  <si>
    <t>2205002021/LD/24396</t>
  </si>
  <si>
    <t>2205002021/FP/23721</t>
  </si>
  <si>
    <r>
      <t> </t>
    </r>
    <r>
      <rPr>
        <b/>
        <sz val="12"/>
        <color rgb="FF0000FF"/>
        <rFont val="Calibri"/>
        <family val="2"/>
        <scheme val="minor"/>
      </rPr>
      <t>2205002021/FP/23722</t>
    </r>
  </si>
  <si>
    <r>
      <t> </t>
    </r>
    <r>
      <rPr>
        <b/>
        <sz val="12"/>
        <color rgb="FF0000FF"/>
        <rFont val="Calibri"/>
        <family val="2"/>
        <scheme val="minor"/>
      </rPr>
      <t>2205002021/FP/23723</t>
    </r>
  </si>
  <si>
    <t>2205002021/AV/2619</t>
  </si>
  <si>
    <t>2205002021/AV/2620</t>
  </si>
  <si>
    <t>2205002006/IF/32944</t>
  </si>
  <si>
    <t>2205002006/WH/3147</t>
  </si>
  <si>
    <t>2205002006/IF/32947</t>
  </si>
  <si>
    <t>2205002006/IF/32949</t>
  </si>
  <si>
    <t>2205002006/FR/23319</t>
  </si>
  <si>
    <t>2205002006/RC/31663</t>
  </si>
  <si>
    <t>2205002006/RC/31664</t>
  </si>
  <si>
    <t>2205002006/FP/23724</t>
  </si>
  <si>
    <t>2205002006/FP/23725</t>
  </si>
  <si>
    <t>April &amp; May</t>
  </si>
  <si>
    <t>JU</t>
  </si>
  <si>
    <t>June- Sept</t>
  </si>
  <si>
    <t>July-Oct-</t>
  </si>
  <si>
    <t>Landleveling</t>
  </si>
  <si>
    <t>Land Development/Land leveling</t>
  </si>
  <si>
    <t>June-oct</t>
  </si>
  <si>
    <t>April</t>
  </si>
  <si>
    <t>Dec-March</t>
  </si>
  <si>
    <t>Oct-Dec</t>
  </si>
  <si>
    <r>
      <t>  </t>
    </r>
    <r>
      <rPr>
        <b/>
        <sz val="11"/>
        <color rgb="FF0000FF"/>
        <rFont val="Calibri"/>
        <family val="2"/>
        <scheme val="minor"/>
      </rPr>
      <t>2205002006/WC/11024</t>
    </r>
  </si>
  <si>
    <r>
      <t> </t>
    </r>
    <r>
      <rPr>
        <b/>
        <sz val="11"/>
        <color rgb="FF0000FF"/>
        <rFont val="Calibri"/>
        <family val="2"/>
        <scheme val="minor"/>
      </rPr>
      <t>2205002006/IC/2300</t>
    </r>
  </si>
  <si>
    <r>
      <t> </t>
    </r>
    <r>
      <rPr>
        <b/>
        <sz val="11"/>
        <color rgb="FF0000FF"/>
        <rFont val="Calibri"/>
        <family val="2"/>
        <scheme val="minor"/>
      </rPr>
      <t>2205002006/IF/32948</t>
    </r>
  </si>
  <si>
    <r>
      <t> </t>
    </r>
    <r>
      <rPr>
        <b/>
        <sz val="11"/>
        <color rgb="FF0000FF"/>
        <rFont val="Calibri"/>
        <family val="2"/>
        <scheme val="minor"/>
      </rPr>
      <t>2205002006/LD/24397</t>
    </r>
  </si>
  <si>
    <r>
      <t> </t>
    </r>
    <r>
      <rPr>
        <b/>
        <sz val="11"/>
        <color rgb="FF0000FF"/>
        <rFont val="Calibri"/>
        <family val="2"/>
        <scheme val="minor"/>
      </rPr>
      <t>2205002006/FP/23726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</si>
</sst>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0.0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mbri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3" fillId="0" borderId="0" xfId="1"/>
    <xf numFmtId="0" fontId="2" fillId="2" borderId="0" xfId="3" applyFont="1" applyFill="1" applyAlignment="1">
      <alignment horizontal="left"/>
    </xf>
    <xf numFmtId="0" fontId="2" fillId="2" borderId="0" xfId="3" applyFont="1" applyFill="1" applyAlignment="1">
      <alignment horizontal="center" vertical="center"/>
    </xf>
    <xf numFmtId="0" fontId="2" fillId="2" borderId="0" xfId="3" applyFont="1" applyFill="1" applyAlignment="1"/>
    <xf numFmtId="0" fontId="2" fillId="2" borderId="0" xfId="3" applyFont="1" applyFill="1" applyAlignment="1">
      <alignment horizontal="left" vertical="center"/>
    </xf>
    <xf numFmtId="0" fontId="2" fillId="2" borderId="0" xfId="3" applyFont="1" applyFill="1" applyAlignment="1">
      <alignment horizontal="right"/>
    </xf>
    <xf numFmtId="43" fontId="2" fillId="2" borderId="0" xfId="2" applyFont="1" applyFill="1" applyAlignment="1">
      <alignment horizontal="center" vertical="center"/>
    </xf>
    <xf numFmtId="43" fontId="2" fillId="2" borderId="0" xfId="1" applyNumberFormat="1" applyFont="1" applyFill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/>
    </xf>
    <xf numFmtId="165" fontId="2" fillId="0" borderId="0" xfId="1" applyNumberFormat="1" applyFont="1"/>
    <xf numFmtId="0" fontId="2" fillId="0" borderId="0" xfId="1" applyNumberFormat="1" applyFont="1" applyAlignment="1">
      <alignment horizontal="left"/>
    </xf>
    <xf numFmtId="0" fontId="4" fillId="0" borderId="1" xfId="1" applyFont="1" applyFill="1" applyBorder="1" applyAlignment="1">
      <alignment vertical="center" wrapText="1"/>
    </xf>
    <xf numFmtId="0" fontId="1" fillId="2" borderId="0" xfId="3" applyFont="1" applyFill="1" applyAlignment="1">
      <alignment horizontal="left"/>
    </xf>
    <xf numFmtId="0" fontId="1" fillId="2" borderId="0" xfId="3" applyFont="1" applyFill="1" applyAlignment="1">
      <alignment horizontal="center" vertical="center"/>
    </xf>
    <xf numFmtId="0" fontId="1" fillId="2" borderId="0" xfId="1" applyFont="1" applyFill="1"/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/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43" fontId="1" fillId="0" borderId="0" xfId="2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/>
    <xf numFmtId="0" fontId="2" fillId="0" borderId="1" xfId="1" applyFont="1" applyBorder="1" applyAlignment="1">
      <alignment horizont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164" fontId="2" fillId="2" borderId="0" xfId="1" applyNumberFormat="1" applyFont="1" applyFill="1" applyAlignment="1">
      <alignment horizontal="center" vertical="center"/>
    </xf>
    <xf numFmtId="0" fontId="0" fillId="0" borderId="1" xfId="1" applyFont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164" fontId="0" fillId="0" borderId="0" xfId="0" applyNumberFormat="1"/>
    <xf numFmtId="0" fontId="1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left"/>
    </xf>
    <xf numFmtId="0" fontId="1" fillId="0" borderId="3" xfId="1" applyFont="1" applyBorder="1" applyAlignment="1">
      <alignment vertical="center" wrapText="1"/>
    </xf>
    <xf numFmtId="0" fontId="0" fillId="0" borderId="3" xfId="1" applyFont="1" applyBorder="1" applyAlignment="1">
      <alignment vertical="center" wrapText="1"/>
    </xf>
    <xf numFmtId="0" fontId="0" fillId="0" borderId="1" xfId="1" applyFont="1" applyBorder="1" applyAlignment="1"/>
    <xf numFmtId="0" fontId="0" fillId="0" borderId="1" xfId="1" applyFont="1" applyBorder="1" applyAlignment="1">
      <alignment wrapText="1"/>
    </xf>
    <xf numFmtId="0" fontId="1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1" fillId="0" borderId="0" xfId="1" applyFont="1" applyBorder="1" applyAlignment="1">
      <alignment vertical="center" wrapText="1"/>
    </xf>
    <xf numFmtId="0" fontId="0" fillId="0" borderId="0" xfId="1" applyFont="1" applyBorder="1" applyAlignment="1">
      <alignment vertical="center" wrapText="1"/>
    </xf>
    <xf numFmtId="0" fontId="1" fillId="0" borderId="0" xfId="1" applyFont="1" applyBorder="1" applyAlignment="1">
      <alignment horizontal="center" vertical="center" wrapText="1"/>
    </xf>
    <xf numFmtId="0" fontId="2" fillId="0" borderId="0" xfId="1" applyFont="1" applyBorder="1" applyAlignment="1"/>
    <xf numFmtId="0" fontId="1" fillId="0" borderId="0" xfId="1" applyFont="1" applyBorder="1"/>
    <xf numFmtId="0" fontId="3" fillId="0" borderId="0" xfId="1"/>
    <xf numFmtId="0" fontId="2" fillId="2" borderId="0" xfId="3" applyFont="1" applyFill="1" applyAlignment="1">
      <alignment horizontal="left"/>
    </xf>
    <xf numFmtId="0" fontId="2" fillId="2" borderId="0" xfId="3" applyFont="1" applyFill="1" applyAlignment="1">
      <alignment horizontal="center" vertical="center"/>
    </xf>
    <xf numFmtId="0" fontId="2" fillId="2" borderId="0" xfId="3" applyFont="1" applyFill="1" applyAlignment="1"/>
    <xf numFmtId="0" fontId="2" fillId="2" borderId="0" xfId="3" applyFont="1" applyFill="1" applyAlignment="1">
      <alignment horizontal="left" vertical="center"/>
    </xf>
    <xf numFmtId="0" fontId="2" fillId="2" borderId="0" xfId="3" applyFont="1" applyFill="1" applyAlignment="1">
      <alignment horizontal="right"/>
    </xf>
    <xf numFmtId="43" fontId="2" fillId="2" borderId="0" xfId="2" applyFont="1" applyFill="1" applyAlignment="1">
      <alignment horizontal="center" vertical="center"/>
    </xf>
    <xf numFmtId="43" fontId="2" fillId="2" borderId="0" xfId="1" applyNumberFormat="1" applyFont="1" applyFill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/>
    </xf>
    <xf numFmtId="165" fontId="2" fillId="0" borderId="0" xfId="1" applyNumberFormat="1" applyFont="1"/>
    <xf numFmtId="0" fontId="2" fillId="0" borderId="0" xfId="1" applyNumberFormat="1" applyFont="1" applyAlignment="1">
      <alignment horizontal="left"/>
    </xf>
    <xf numFmtId="0" fontId="4" fillId="0" borderId="1" xfId="1" applyFont="1" applyFill="1" applyBorder="1" applyAlignment="1">
      <alignment vertical="center" wrapText="1"/>
    </xf>
    <xf numFmtId="0" fontId="1" fillId="2" borderId="0" xfId="3" applyFont="1" applyFill="1" applyAlignment="1">
      <alignment horizontal="left"/>
    </xf>
    <xf numFmtId="0" fontId="1" fillId="2" borderId="0" xfId="3" applyFont="1" applyFill="1" applyAlignment="1">
      <alignment horizontal="center" vertical="center"/>
    </xf>
    <xf numFmtId="0" fontId="1" fillId="2" borderId="0" xfId="1" applyFont="1" applyFill="1"/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/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43" fontId="1" fillId="0" borderId="0" xfId="2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/>
    <xf numFmtId="0" fontId="2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1" applyFont="1" applyBorder="1" applyAlignment="1">
      <alignment horizontal="left"/>
    </xf>
    <xf numFmtId="0" fontId="6" fillId="0" borderId="0" xfId="0" applyFont="1"/>
    <xf numFmtId="0" fontId="7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3" borderId="0" xfId="0" applyFill="1"/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/>
    <xf numFmtId="0" fontId="7" fillId="0" borderId="1" xfId="0" applyFont="1" applyBorder="1" applyAlignment="1"/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wrapText="1"/>
    </xf>
    <xf numFmtId="0" fontId="1" fillId="0" borderId="3" xfId="1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2" fillId="0" borderId="1" xfId="3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3" applyFont="1" applyBorder="1" applyAlignment="1">
      <alignment horizontal="left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9" fillId="0" borderId="0" xfId="1" applyFont="1"/>
  </cellXfs>
  <cellStyles count="4">
    <cellStyle name="Comma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L40"/>
  <sheetViews>
    <sheetView tabSelected="1" workbookViewId="0">
      <selection activeCell="J5" sqref="J5"/>
    </sheetView>
  </sheetViews>
  <sheetFormatPr defaultRowHeight="15"/>
  <cols>
    <col min="1" max="1" width="22" customWidth="1"/>
    <col min="3" max="3" width="26" customWidth="1"/>
    <col min="4" max="4" width="22.5703125" customWidth="1"/>
    <col min="5" max="5" width="15.85546875" customWidth="1"/>
    <col min="6" max="6" width="7.7109375" customWidth="1"/>
    <col min="7" max="7" width="8.140625" customWidth="1"/>
    <col min="8" max="8" width="23.28515625" bestFit="1" customWidth="1"/>
    <col min="12" max="12" width="11.28515625" bestFit="1" customWidth="1"/>
  </cols>
  <sheetData>
    <row r="1" spans="1:8">
      <c r="A1" s="2" t="s">
        <v>61</v>
      </c>
      <c r="B1" s="3"/>
      <c r="C1" s="4"/>
      <c r="D1" s="4" t="s">
        <v>0</v>
      </c>
      <c r="E1" s="4"/>
      <c r="F1" s="3"/>
      <c r="G1" s="3"/>
      <c r="H1" s="19"/>
    </row>
    <row r="2" spans="1:8">
      <c r="A2" s="5"/>
      <c r="B2" s="3"/>
      <c r="C2" s="6"/>
      <c r="D2" s="6" t="s">
        <v>1</v>
      </c>
      <c r="E2" s="7">
        <f>B3*211*100</f>
        <v>26797000</v>
      </c>
      <c r="F2" s="3"/>
      <c r="G2" s="3"/>
      <c r="H2" s="19"/>
    </row>
    <row r="3" spans="1:8">
      <c r="A3" s="2" t="s">
        <v>2</v>
      </c>
      <c r="B3" s="3">
        <v>1270</v>
      </c>
      <c r="C3" s="6"/>
      <c r="D3" s="6" t="s">
        <v>3</v>
      </c>
      <c r="E3" s="8">
        <f>E2*2/3</f>
        <v>17864666.666666668</v>
      </c>
      <c r="F3" s="3"/>
      <c r="G3" s="3"/>
      <c r="H3" s="19"/>
    </row>
    <row r="4" spans="1:8">
      <c r="A4" s="17"/>
      <c r="B4" s="18"/>
      <c r="C4" s="6"/>
      <c r="D4" s="6" t="s">
        <v>4</v>
      </c>
      <c r="E4" s="8">
        <f>SUM(E2:E3)</f>
        <v>44661666.666666672</v>
      </c>
      <c r="F4" s="3"/>
      <c r="G4" s="3"/>
      <c r="H4" s="19"/>
    </row>
    <row r="5" spans="1:8">
      <c r="A5" s="17"/>
      <c r="B5" s="18"/>
      <c r="C5" s="6"/>
      <c r="D5" s="6" t="s">
        <v>5</v>
      </c>
      <c r="E5" s="7">
        <f>E4*0.06</f>
        <v>2679700</v>
      </c>
      <c r="F5" s="3"/>
      <c r="G5" s="3"/>
      <c r="H5" s="19"/>
    </row>
    <row r="6" spans="1:8">
      <c r="A6" s="17"/>
      <c r="B6" s="18"/>
      <c r="C6" s="6"/>
      <c r="D6" s="6" t="s">
        <v>6</v>
      </c>
      <c r="E6" s="34">
        <f>E5+E4</f>
        <v>47341366.666666672</v>
      </c>
      <c r="F6" s="3"/>
      <c r="G6" s="3"/>
      <c r="H6" s="19"/>
    </row>
    <row r="7" spans="1:8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8">
      <c r="A8" s="121"/>
      <c r="B8" s="122"/>
      <c r="C8" s="124"/>
      <c r="D8" s="126"/>
      <c r="E8" s="128"/>
      <c r="F8" s="128"/>
      <c r="G8" s="119"/>
      <c r="H8" s="120"/>
    </row>
    <row r="9" spans="1:8">
      <c r="A9" s="113" t="s">
        <v>15</v>
      </c>
      <c r="B9" s="113"/>
      <c r="C9" s="113"/>
      <c r="D9" s="113"/>
      <c r="E9" s="113"/>
      <c r="F9" s="113"/>
      <c r="G9" s="113"/>
      <c r="H9" s="113"/>
    </row>
    <row r="10" spans="1:8" ht="30">
      <c r="A10" s="38" t="s">
        <v>16</v>
      </c>
      <c r="B10" s="20">
        <v>8600</v>
      </c>
      <c r="C10" s="21" t="s">
        <v>17</v>
      </c>
      <c r="D10" s="35" t="s">
        <v>66</v>
      </c>
      <c r="E10" s="24">
        <f>B10*211/100000</f>
        <v>18.146000000000001</v>
      </c>
      <c r="F10" s="20"/>
      <c r="G10" s="9"/>
      <c r="H10" s="90" t="s">
        <v>99</v>
      </c>
    </row>
    <row r="11" spans="1:8" ht="15.75">
      <c r="A11" s="114" t="s">
        <v>19</v>
      </c>
      <c r="B11" s="20">
        <v>200</v>
      </c>
      <c r="C11" s="22" t="s">
        <v>20</v>
      </c>
      <c r="D11" s="35" t="s">
        <v>66</v>
      </c>
      <c r="E11" s="24">
        <f>((B11*211)+300000)/100000</f>
        <v>3.4220000000000002</v>
      </c>
      <c r="F11" s="20"/>
      <c r="G11" s="9"/>
      <c r="H11" s="90" t="s">
        <v>100</v>
      </c>
    </row>
    <row r="12" spans="1:8" ht="15.75">
      <c r="A12" s="115"/>
      <c r="B12" s="20">
        <v>200</v>
      </c>
      <c r="C12" s="23" t="s">
        <v>21</v>
      </c>
      <c r="D12" s="35" t="s">
        <v>66</v>
      </c>
      <c r="E12" s="24">
        <f>((B12*211)+2000000)/100000</f>
        <v>20.422000000000001</v>
      </c>
      <c r="F12" s="20"/>
      <c r="G12" s="9"/>
      <c r="H12" s="90" t="s">
        <v>101</v>
      </c>
    </row>
    <row r="13" spans="1:8" ht="15.75">
      <c r="A13" s="40" t="s">
        <v>22</v>
      </c>
      <c r="B13" s="20">
        <v>200</v>
      </c>
      <c r="C13" s="23" t="s">
        <v>23</v>
      </c>
      <c r="D13" s="35" t="s">
        <v>66</v>
      </c>
      <c r="E13" s="24">
        <f>((B13*211)+100000)/100000</f>
        <v>1.4219999999999999</v>
      </c>
      <c r="F13" s="20"/>
      <c r="G13" s="9"/>
      <c r="H13" s="90" t="s">
        <v>102</v>
      </c>
    </row>
    <row r="14" spans="1:8" ht="30">
      <c r="A14" s="38" t="s">
        <v>24</v>
      </c>
      <c r="B14" s="20">
        <v>200</v>
      </c>
      <c r="C14" s="22" t="s">
        <v>25</v>
      </c>
      <c r="D14" s="35" t="s">
        <v>66</v>
      </c>
      <c r="E14" s="24">
        <f>((B14*211)+250000)/100000</f>
        <v>2.9220000000000002</v>
      </c>
      <c r="F14" s="20"/>
      <c r="G14" s="9"/>
      <c r="H14" s="91" t="s">
        <v>103</v>
      </c>
    </row>
    <row r="15" spans="1:8" ht="15.75">
      <c r="A15" s="41" t="s">
        <v>26</v>
      </c>
      <c r="B15" s="20">
        <v>25250</v>
      </c>
      <c r="C15" s="25" t="s">
        <v>27</v>
      </c>
      <c r="D15" s="35" t="s">
        <v>66</v>
      </c>
      <c r="E15" s="24">
        <f t="shared" ref="E15" si="0">B15*211/100000</f>
        <v>53.277500000000003</v>
      </c>
      <c r="F15" s="20"/>
      <c r="G15" s="9"/>
      <c r="H15" s="90" t="s">
        <v>104</v>
      </c>
    </row>
    <row r="16" spans="1:8">
      <c r="A16" s="112" t="s">
        <v>28</v>
      </c>
      <c r="B16" s="112"/>
      <c r="C16" s="112"/>
      <c r="D16" s="112"/>
      <c r="E16" s="112"/>
      <c r="F16" s="112"/>
      <c r="G16" s="112"/>
      <c r="H16" s="112"/>
    </row>
    <row r="17" spans="1:11" ht="15.75">
      <c r="A17" s="116" t="s">
        <v>29</v>
      </c>
      <c r="B17" s="28">
        <v>1000</v>
      </c>
      <c r="C17" s="22" t="s">
        <v>18</v>
      </c>
      <c r="D17" s="35" t="s">
        <v>66</v>
      </c>
      <c r="E17" s="24">
        <f t="shared" ref="E17:E23" si="1">B17*211/100000</f>
        <v>2.11</v>
      </c>
      <c r="F17" s="28"/>
      <c r="G17" s="28"/>
      <c r="H17" s="90" t="s">
        <v>105</v>
      </c>
    </row>
    <row r="18" spans="1:11" ht="15.75">
      <c r="A18" s="117"/>
      <c r="B18" s="28">
        <v>34040</v>
      </c>
      <c r="C18" s="23" t="s">
        <v>26</v>
      </c>
      <c r="D18" s="35" t="s">
        <v>66</v>
      </c>
      <c r="E18" s="24">
        <f t="shared" si="1"/>
        <v>71.824399999999997</v>
      </c>
      <c r="F18" s="28"/>
      <c r="G18" s="28"/>
      <c r="H18" s="90" t="s">
        <v>106</v>
      </c>
    </row>
    <row r="19" spans="1:11" ht="30">
      <c r="A19" s="42" t="s">
        <v>30</v>
      </c>
      <c r="B19" s="28">
        <v>100</v>
      </c>
      <c r="C19" s="22" t="s">
        <v>31</v>
      </c>
      <c r="D19" s="35" t="s">
        <v>66</v>
      </c>
      <c r="E19" s="24">
        <f>((B19*211)+100000)/100000</f>
        <v>1.2110000000000001</v>
      </c>
      <c r="F19" s="28"/>
      <c r="G19" s="28"/>
      <c r="H19" s="90" t="s">
        <v>107</v>
      </c>
    </row>
    <row r="20" spans="1:11" ht="27.6" customHeight="1">
      <c r="A20" s="42" t="s">
        <v>32</v>
      </c>
      <c r="B20" s="28">
        <v>3850</v>
      </c>
      <c r="C20" s="22" t="s">
        <v>33</v>
      </c>
      <c r="D20" s="35" t="s">
        <v>66</v>
      </c>
      <c r="E20" s="24">
        <f t="shared" si="1"/>
        <v>8.1234999999999999</v>
      </c>
      <c r="F20" s="28"/>
      <c r="G20" s="28"/>
      <c r="H20" s="90" t="s">
        <v>108</v>
      </c>
    </row>
    <row r="21" spans="1:11" ht="15.75">
      <c r="A21" s="116" t="s">
        <v>34</v>
      </c>
      <c r="B21" s="28">
        <v>200</v>
      </c>
      <c r="C21" s="22" t="s">
        <v>35</v>
      </c>
      <c r="D21" s="35" t="s">
        <v>66</v>
      </c>
      <c r="E21" s="24">
        <f>((B21*211)+450000)/100000</f>
        <v>4.9219999999999997</v>
      </c>
      <c r="F21" s="28"/>
      <c r="G21" s="28"/>
      <c r="H21" s="90" t="s">
        <v>109</v>
      </c>
    </row>
    <row r="22" spans="1:11" ht="15.75">
      <c r="A22" s="117"/>
      <c r="B22" s="20">
        <v>100</v>
      </c>
      <c r="C22" s="22" t="s">
        <v>36</v>
      </c>
      <c r="D22" s="35" t="s">
        <v>66</v>
      </c>
      <c r="E22" s="24">
        <f>((B22*211)+180000)/100000</f>
        <v>2.0110000000000001</v>
      </c>
      <c r="F22" s="20"/>
      <c r="G22" s="9"/>
      <c r="H22" s="93" t="s">
        <v>110</v>
      </c>
    </row>
    <row r="23" spans="1:11" ht="15.75">
      <c r="A23" s="43" t="s">
        <v>37</v>
      </c>
      <c r="B23" s="20">
        <v>45360</v>
      </c>
      <c r="C23" s="22" t="s">
        <v>38</v>
      </c>
      <c r="D23" s="35" t="s">
        <v>66</v>
      </c>
      <c r="E23" s="24">
        <f t="shared" si="1"/>
        <v>95.709599999999995</v>
      </c>
      <c r="F23" s="20"/>
      <c r="G23" s="9"/>
      <c r="H23" s="90" t="s">
        <v>111</v>
      </c>
    </row>
    <row r="24" spans="1:11">
      <c r="A24" s="109" t="s">
        <v>39</v>
      </c>
      <c r="B24" s="109"/>
      <c r="C24" s="109"/>
      <c r="D24" s="109"/>
      <c r="E24" s="109"/>
      <c r="F24" s="109"/>
      <c r="G24" s="109"/>
      <c r="H24" s="109"/>
    </row>
    <row r="25" spans="1:11" ht="15.75">
      <c r="A25" s="36" t="s">
        <v>40</v>
      </c>
      <c r="B25" s="29">
        <v>200</v>
      </c>
      <c r="C25" s="22" t="s">
        <v>41</v>
      </c>
      <c r="D25" s="35" t="s">
        <v>66</v>
      </c>
      <c r="E25" s="24">
        <f>((B25*211)+2500000)/100000</f>
        <v>25.422000000000001</v>
      </c>
      <c r="F25" s="29"/>
      <c r="G25" s="29"/>
      <c r="H25" s="91" t="s">
        <v>112</v>
      </c>
    </row>
    <row r="26" spans="1:11" ht="14.45" customHeight="1">
      <c r="A26" s="116" t="s">
        <v>42</v>
      </c>
      <c r="B26" s="29">
        <v>1000</v>
      </c>
      <c r="C26" s="22" t="s">
        <v>43</v>
      </c>
      <c r="D26" s="35" t="s">
        <v>66</v>
      </c>
      <c r="E26" s="24">
        <f>((B26*211)+2500000)/100000</f>
        <v>27.11</v>
      </c>
      <c r="F26" s="29"/>
      <c r="G26" s="29"/>
      <c r="H26" s="91" t="s">
        <v>113</v>
      </c>
    </row>
    <row r="27" spans="1:11" ht="15.75">
      <c r="A27" s="118"/>
      <c r="B27" s="29">
        <v>300</v>
      </c>
      <c r="C27" s="22" t="s">
        <v>44</v>
      </c>
      <c r="D27" s="35" t="s">
        <v>66</v>
      </c>
      <c r="E27" s="24">
        <f>((B27*211)+300000)/100000</f>
        <v>3.633</v>
      </c>
      <c r="F27" s="29"/>
      <c r="G27" s="29"/>
      <c r="H27" s="90" t="s">
        <v>114</v>
      </c>
    </row>
    <row r="28" spans="1:11" ht="15.75">
      <c r="A28" s="118"/>
      <c r="B28" s="29">
        <v>500</v>
      </c>
      <c r="C28" s="22" t="s">
        <v>45</v>
      </c>
      <c r="D28" s="35" t="s">
        <v>66</v>
      </c>
      <c r="E28" s="24">
        <f>((B28*211)+800000)/100000</f>
        <v>9.0549999999999997</v>
      </c>
      <c r="F28" s="29"/>
      <c r="G28" s="29"/>
      <c r="H28" s="92" t="s">
        <v>115</v>
      </c>
    </row>
    <row r="29" spans="1:11" ht="30">
      <c r="A29" s="117"/>
      <c r="B29" s="29">
        <v>200</v>
      </c>
      <c r="C29" s="22" t="s">
        <v>46</v>
      </c>
      <c r="D29" s="35" t="s">
        <v>66</v>
      </c>
      <c r="E29" s="24">
        <f>((B29*211)+1500000)/100000</f>
        <v>15.422000000000001</v>
      </c>
      <c r="F29" s="29"/>
      <c r="G29" s="29"/>
      <c r="H29" s="90" t="s">
        <v>116</v>
      </c>
    </row>
    <row r="30" spans="1:11" ht="15.75">
      <c r="A30" s="116" t="s">
        <v>42</v>
      </c>
      <c r="B30" s="29">
        <v>4500</v>
      </c>
      <c r="C30" s="22" t="s">
        <v>47</v>
      </c>
      <c r="D30" s="35" t="s">
        <v>66</v>
      </c>
      <c r="E30" s="24">
        <f t="shared" ref="E30:E32" si="2">B30*211/100000</f>
        <v>9.4949999999999992</v>
      </c>
      <c r="F30" s="29"/>
      <c r="G30" s="29"/>
      <c r="H30" s="90" t="s">
        <v>117</v>
      </c>
    </row>
    <row r="31" spans="1:11" ht="15.75">
      <c r="A31" s="117"/>
      <c r="B31" s="29">
        <v>200</v>
      </c>
      <c r="C31" s="22" t="s">
        <v>48</v>
      </c>
      <c r="D31" s="35" t="s">
        <v>66</v>
      </c>
      <c r="E31" s="24">
        <f>((B31*211)+200000)/100000</f>
        <v>2.4220000000000002</v>
      </c>
      <c r="F31" s="29"/>
      <c r="G31" s="29"/>
      <c r="H31" s="90" t="s">
        <v>118</v>
      </c>
      <c r="K31" s="37"/>
    </row>
    <row r="32" spans="1:11" ht="30">
      <c r="A32" s="43" t="s">
        <v>49</v>
      </c>
      <c r="B32" s="29">
        <v>200</v>
      </c>
      <c r="C32" s="16" t="s">
        <v>50</v>
      </c>
      <c r="D32" s="35" t="s">
        <v>66</v>
      </c>
      <c r="E32" s="24">
        <f t="shared" si="2"/>
        <v>0.42199999999999999</v>
      </c>
      <c r="F32" s="29"/>
      <c r="G32" s="29"/>
      <c r="H32" s="90" t="s">
        <v>119</v>
      </c>
    </row>
    <row r="33" spans="1:12" ht="30">
      <c r="A33" s="110" t="s">
        <v>51</v>
      </c>
      <c r="B33" s="29">
        <v>200</v>
      </c>
      <c r="C33" s="21" t="s">
        <v>52</v>
      </c>
      <c r="D33" s="35" t="s">
        <v>66</v>
      </c>
      <c r="E33" s="24">
        <f>((B33*211)+2500000.67)/100000</f>
        <v>25.422006700000001</v>
      </c>
      <c r="F33" s="29"/>
      <c r="G33" s="29"/>
      <c r="H33" s="90" t="s">
        <v>120</v>
      </c>
    </row>
    <row r="34" spans="1:12" ht="15.75">
      <c r="A34" s="110"/>
      <c r="B34" s="29">
        <v>200</v>
      </c>
      <c r="C34" s="21" t="s">
        <v>53</v>
      </c>
      <c r="D34" s="35" t="s">
        <v>66</v>
      </c>
      <c r="E34" s="24">
        <f>((B34*211)+2500000)/100000</f>
        <v>25.422000000000001</v>
      </c>
      <c r="F34" s="29"/>
      <c r="G34" s="29"/>
      <c r="H34" s="91" t="s">
        <v>121</v>
      </c>
      <c r="J34" s="37"/>
      <c r="L34" s="37"/>
    </row>
    <row r="35" spans="1:12" ht="15.75">
      <c r="A35" s="111"/>
      <c r="B35" s="29">
        <v>200</v>
      </c>
      <c r="C35" s="21" t="s">
        <v>54</v>
      </c>
      <c r="D35" s="35" t="s">
        <v>66</v>
      </c>
      <c r="E35" s="24">
        <f>((B35*211)+1685000)/100000</f>
        <v>17.271999999999998</v>
      </c>
      <c r="F35" s="29"/>
      <c r="G35" s="29"/>
      <c r="H35" s="90" t="s">
        <v>122</v>
      </c>
    </row>
    <row r="36" spans="1:12" ht="18">
      <c r="A36" s="1"/>
      <c r="B36" s="10">
        <f>B35+B34+B33+B32+B31+B30+B29+B28+B27+B26+B25+B23+B22+B21+B20+B19+B18+B17+B15+B14+B13+B12+B11+B10</f>
        <v>127000</v>
      </c>
      <c r="C36" s="1"/>
      <c r="D36" s="1"/>
      <c r="E36" s="26">
        <f>E35+E34+E33+E32+E31+E30+E29+E28+E27+E26+E25+E23+E22+E21+E20+E19+E18+E17+E15+E14+E13+E12+E11+E10</f>
        <v>446.62000670000015</v>
      </c>
      <c r="F36" s="27"/>
      <c r="G36" s="1"/>
      <c r="H36" s="1"/>
    </row>
    <row r="37" spans="1:12" ht="18">
      <c r="A37" s="1"/>
      <c r="B37" s="11">
        <f>B3*100</f>
        <v>127000</v>
      </c>
      <c r="C37" s="1"/>
      <c r="D37" s="1"/>
      <c r="E37" s="12">
        <f>(E2+E3)/100000</f>
        <v>446.61666666666673</v>
      </c>
      <c r="F37" s="27"/>
      <c r="G37" s="1"/>
      <c r="H37" s="1"/>
    </row>
    <row r="38" spans="1:12" ht="18">
      <c r="A38" s="13" t="s">
        <v>57</v>
      </c>
      <c r="B38" s="1"/>
      <c r="C38" s="14">
        <f>B37*211/100000</f>
        <v>267.97000000000003</v>
      </c>
      <c r="D38" s="15" t="s">
        <v>58</v>
      </c>
      <c r="E38" s="1"/>
      <c r="F38" s="27"/>
      <c r="G38" s="1"/>
      <c r="H38" s="1"/>
    </row>
    <row r="39" spans="1:12" ht="18">
      <c r="A39" s="13" t="s">
        <v>59</v>
      </c>
      <c r="B39" s="1"/>
      <c r="C39" s="14">
        <f>C38*2/3</f>
        <v>178.64666666666668</v>
      </c>
      <c r="D39" s="15" t="s">
        <v>58</v>
      </c>
      <c r="E39" s="1"/>
      <c r="F39" s="27"/>
      <c r="G39" s="1"/>
      <c r="H39" s="1"/>
      <c r="I39" s="94"/>
    </row>
    <row r="40" spans="1:12" ht="18">
      <c r="A40" s="15" t="s">
        <v>60</v>
      </c>
      <c r="B40" s="1"/>
      <c r="C40" s="1"/>
      <c r="D40" s="1"/>
      <c r="E40" s="1"/>
      <c r="F40" s="27"/>
      <c r="G40" s="1"/>
      <c r="H40" s="1"/>
    </row>
  </sheetData>
  <mergeCells count="17">
    <mergeCell ref="G7:G8"/>
    <mergeCell ref="H7:H8"/>
    <mergeCell ref="A7:A8"/>
    <mergeCell ref="B7:B8"/>
    <mergeCell ref="C7:C8"/>
    <mergeCell ref="D7:D8"/>
    <mergeCell ref="E7:E8"/>
    <mergeCell ref="F7:F8"/>
    <mergeCell ref="A24:H24"/>
    <mergeCell ref="A33:A35"/>
    <mergeCell ref="A16:H16"/>
    <mergeCell ref="A9:H9"/>
    <mergeCell ref="A11:A12"/>
    <mergeCell ref="A17:A18"/>
    <mergeCell ref="A21:A22"/>
    <mergeCell ref="A26:A29"/>
    <mergeCell ref="A30:A3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L39"/>
  <sheetViews>
    <sheetView workbookViewId="0">
      <selection sqref="A1:H39"/>
    </sheetView>
  </sheetViews>
  <sheetFormatPr defaultRowHeight="15"/>
  <cols>
    <col min="1" max="1" width="21.140625" customWidth="1"/>
    <col min="3" max="3" width="19.42578125" customWidth="1"/>
    <col min="4" max="4" width="19.85546875" customWidth="1"/>
    <col min="5" max="5" width="14.85546875" customWidth="1"/>
    <col min="8" max="8" width="24.42578125" customWidth="1"/>
  </cols>
  <sheetData>
    <row r="1" spans="1:10">
      <c r="A1" s="58" t="s">
        <v>89</v>
      </c>
      <c r="B1" s="59"/>
      <c r="C1" s="60"/>
      <c r="D1" s="60" t="s">
        <v>0</v>
      </c>
      <c r="E1" s="60"/>
      <c r="F1" s="59"/>
      <c r="G1" s="59"/>
      <c r="H1" s="75"/>
    </row>
    <row r="2" spans="1:10">
      <c r="A2" s="61"/>
      <c r="B2" s="59"/>
      <c r="C2" s="62"/>
      <c r="D2" s="62" t="s">
        <v>1</v>
      </c>
      <c r="E2" s="63">
        <f>B3*211*100</f>
        <v>4747500</v>
      </c>
      <c r="F2" s="59"/>
      <c r="G2" s="59"/>
      <c r="H2" s="75"/>
    </row>
    <row r="3" spans="1:10">
      <c r="A3" s="58" t="s">
        <v>2</v>
      </c>
      <c r="B3" s="59">
        <v>225</v>
      </c>
      <c r="C3" s="62"/>
      <c r="D3" s="62" t="s">
        <v>3</v>
      </c>
      <c r="E3" s="64">
        <f>E2*2/3</f>
        <v>3165000</v>
      </c>
      <c r="F3" s="59"/>
      <c r="G3" s="59"/>
      <c r="H3" s="75"/>
    </row>
    <row r="4" spans="1:10">
      <c r="A4" s="73"/>
      <c r="B4" s="74"/>
      <c r="C4" s="62"/>
      <c r="D4" s="62" t="s">
        <v>4</v>
      </c>
      <c r="E4" s="64">
        <f>SUM(E2:E3)</f>
        <v>7912500</v>
      </c>
      <c r="F4" s="59"/>
      <c r="G4" s="59"/>
      <c r="H4" s="75"/>
    </row>
    <row r="5" spans="1:10">
      <c r="A5" s="73"/>
      <c r="B5" s="74"/>
      <c r="C5" s="62"/>
      <c r="D5" s="62" t="s">
        <v>5</v>
      </c>
      <c r="E5" s="63">
        <f>E4*0.06</f>
        <v>474750</v>
      </c>
      <c r="F5" s="59"/>
      <c r="G5" s="59"/>
      <c r="H5" s="75"/>
    </row>
    <row r="6" spans="1:10">
      <c r="A6" s="73"/>
      <c r="B6" s="74"/>
      <c r="C6" s="62"/>
      <c r="D6" s="62" t="s">
        <v>6</v>
      </c>
      <c r="E6" s="34">
        <f>E5+E4</f>
        <v>8387250</v>
      </c>
      <c r="F6" s="59"/>
      <c r="G6" s="59"/>
      <c r="H6" s="75"/>
    </row>
    <row r="7" spans="1:10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10">
      <c r="A8" s="121"/>
      <c r="B8" s="122"/>
      <c r="C8" s="124"/>
      <c r="D8" s="126"/>
      <c r="E8" s="128"/>
      <c r="F8" s="128"/>
      <c r="G8" s="119"/>
      <c r="H8" s="120"/>
    </row>
    <row r="9" spans="1:10">
      <c r="A9" s="113" t="s">
        <v>15</v>
      </c>
      <c r="B9" s="113"/>
      <c r="C9" s="113"/>
      <c r="D9" s="113"/>
      <c r="E9" s="113"/>
      <c r="F9" s="113"/>
      <c r="G9" s="113"/>
      <c r="H9" s="113"/>
    </row>
    <row r="10" spans="1:10" ht="30">
      <c r="A10" s="39" t="s">
        <v>16</v>
      </c>
      <c r="B10" s="76">
        <v>2000</v>
      </c>
      <c r="C10" s="77" t="s">
        <v>17</v>
      </c>
      <c r="D10" s="35" t="s">
        <v>90</v>
      </c>
      <c r="E10" s="80">
        <f>B10*211/100000</f>
        <v>4.22</v>
      </c>
      <c r="F10" s="76"/>
      <c r="G10" s="65"/>
      <c r="H10" s="98" t="s">
        <v>293</v>
      </c>
    </row>
    <row r="11" spans="1:10" ht="16.149999999999999" customHeight="1">
      <c r="A11" s="46" t="s">
        <v>19</v>
      </c>
      <c r="B11" s="76">
        <v>100</v>
      </c>
      <c r="C11" s="79" t="s">
        <v>21</v>
      </c>
      <c r="D11" s="35" t="s">
        <v>90</v>
      </c>
      <c r="E11" s="80">
        <f>((B11*211)+367000)/100000</f>
        <v>3.8809999999999998</v>
      </c>
      <c r="F11" s="76"/>
      <c r="G11" s="65"/>
      <c r="H11" s="87" t="s">
        <v>294</v>
      </c>
      <c r="J11">
        <f>4-0.33</f>
        <v>3.67</v>
      </c>
    </row>
    <row r="12" spans="1:10" ht="16.149999999999999" customHeight="1">
      <c r="A12" s="47" t="s">
        <v>91</v>
      </c>
      <c r="B12" s="76">
        <v>100</v>
      </c>
      <c r="C12" s="47" t="s">
        <v>91</v>
      </c>
      <c r="D12" s="35" t="s">
        <v>90</v>
      </c>
      <c r="E12" s="80">
        <f>(B12*211)/100000</f>
        <v>0.21099999999999999</v>
      </c>
      <c r="F12" s="76"/>
      <c r="G12" s="65"/>
      <c r="H12" s="98" t="s">
        <v>295</v>
      </c>
    </row>
    <row r="13" spans="1:10" ht="16.149999999999999" customHeight="1">
      <c r="A13" s="39" t="s">
        <v>24</v>
      </c>
      <c r="B13" s="76">
        <v>200</v>
      </c>
      <c r="C13" s="78" t="s">
        <v>25</v>
      </c>
      <c r="D13" s="35" t="s">
        <v>90</v>
      </c>
      <c r="E13" s="80">
        <f>((B13*211)+250000)/100000</f>
        <v>2.9220000000000002</v>
      </c>
      <c r="F13" s="76"/>
      <c r="G13" s="65"/>
      <c r="H13" s="87" t="s">
        <v>296</v>
      </c>
    </row>
    <row r="14" spans="1:10" ht="16.149999999999999" customHeight="1">
      <c r="A14" s="41" t="s">
        <v>26</v>
      </c>
      <c r="B14" s="76">
        <v>4700</v>
      </c>
      <c r="C14" s="81" t="s">
        <v>27</v>
      </c>
      <c r="D14" s="35" t="s">
        <v>90</v>
      </c>
      <c r="E14" s="80">
        <f t="shared" ref="E14" si="0">B14*211/100000</f>
        <v>9.9169999999999998</v>
      </c>
      <c r="F14" s="76"/>
      <c r="G14" s="65"/>
      <c r="H14" s="87" t="s">
        <v>297</v>
      </c>
    </row>
    <row r="15" spans="1:10" ht="16.149999999999999" customHeight="1">
      <c r="A15" s="112" t="s">
        <v>28</v>
      </c>
      <c r="B15" s="112"/>
      <c r="C15" s="112"/>
      <c r="D15" s="112"/>
      <c r="E15" s="112"/>
      <c r="F15" s="112"/>
      <c r="G15" s="112"/>
      <c r="H15" s="112"/>
    </row>
    <row r="16" spans="1:10" ht="16.149999999999999" customHeight="1">
      <c r="A16" s="116" t="s">
        <v>29</v>
      </c>
      <c r="B16" s="84">
        <v>500</v>
      </c>
      <c r="C16" s="78" t="s">
        <v>18</v>
      </c>
      <c r="D16" s="35" t="s">
        <v>90</v>
      </c>
      <c r="E16" s="80">
        <f t="shared" ref="E16:E21" si="1">B16*211/100000</f>
        <v>1.0549999999999999</v>
      </c>
      <c r="F16" s="84"/>
      <c r="G16" s="84"/>
      <c r="H16" s="98" t="s">
        <v>298</v>
      </c>
    </row>
    <row r="17" spans="1:8" ht="16.149999999999999" customHeight="1">
      <c r="A17" s="117"/>
      <c r="B17" s="84">
        <v>6300</v>
      </c>
      <c r="C17" s="79" t="s">
        <v>26</v>
      </c>
      <c r="D17" s="35" t="s">
        <v>90</v>
      </c>
      <c r="E17" s="80">
        <f t="shared" si="1"/>
        <v>13.292999999999999</v>
      </c>
      <c r="F17" s="84"/>
      <c r="G17" s="84"/>
      <c r="H17" s="93" t="s">
        <v>302</v>
      </c>
    </row>
    <row r="18" spans="1:8" ht="30">
      <c r="A18" s="42" t="s">
        <v>30</v>
      </c>
      <c r="B18" s="84">
        <v>100</v>
      </c>
      <c r="C18" s="78" t="s">
        <v>31</v>
      </c>
      <c r="D18" s="35" t="s">
        <v>90</v>
      </c>
      <c r="E18" s="80">
        <f>((B18*211)+100000)/100000</f>
        <v>1.2110000000000001</v>
      </c>
      <c r="F18" s="84"/>
      <c r="G18" s="84"/>
      <c r="H18" s="87" t="s">
        <v>299</v>
      </c>
    </row>
    <row r="19" spans="1:8" ht="16.149999999999999" customHeight="1">
      <c r="A19" s="116" t="s">
        <v>34</v>
      </c>
      <c r="B19" s="84">
        <v>100</v>
      </c>
      <c r="C19" s="78" t="s">
        <v>35</v>
      </c>
      <c r="D19" s="35" t="s">
        <v>90</v>
      </c>
      <c r="E19" s="80">
        <f>((B19*211)+450000)/100000</f>
        <v>4.7110000000000003</v>
      </c>
      <c r="F19" s="84"/>
      <c r="G19" s="84"/>
      <c r="H19" s="98" t="s">
        <v>300</v>
      </c>
    </row>
    <row r="20" spans="1:8" ht="16.149999999999999" customHeight="1">
      <c r="A20" s="117"/>
      <c r="B20" s="76">
        <v>100</v>
      </c>
      <c r="C20" s="78" t="s">
        <v>36</v>
      </c>
      <c r="D20" s="35" t="s">
        <v>90</v>
      </c>
      <c r="E20" s="80">
        <f>((B20*211)+180000)/100000</f>
        <v>2.0110000000000001</v>
      </c>
      <c r="F20" s="76"/>
      <c r="G20" s="65"/>
      <c r="H20" s="87" t="s">
        <v>301</v>
      </c>
    </row>
    <row r="21" spans="1:8" ht="16.149999999999999" customHeight="1">
      <c r="A21" s="44" t="s">
        <v>37</v>
      </c>
      <c r="B21" s="76">
        <v>6000</v>
      </c>
      <c r="C21" s="78" t="s">
        <v>38</v>
      </c>
      <c r="D21" s="35" t="s">
        <v>90</v>
      </c>
      <c r="E21" s="80">
        <f t="shared" si="1"/>
        <v>12.66</v>
      </c>
      <c r="F21" s="76"/>
      <c r="G21" s="65"/>
      <c r="H21" s="92" t="s">
        <v>303</v>
      </c>
    </row>
    <row r="22" spans="1:8" ht="16.149999999999999" customHeight="1">
      <c r="A22" s="109" t="s">
        <v>39</v>
      </c>
      <c r="B22" s="109"/>
      <c r="C22" s="109"/>
      <c r="D22" s="109"/>
      <c r="E22" s="109"/>
      <c r="F22" s="109"/>
      <c r="G22" s="109"/>
      <c r="H22" s="109"/>
    </row>
    <row r="23" spans="1:8" ht="16.149999999999999" customHeight="1">
      <c r="A23" s="129" t="s">
        <v>40</v>
      </c>
      <c r="B23" s="86">
        <v>100</v>
      </c>
      <c r="C23" s="49" t="s">
        <v>93</v>
      </c>
      <c r="D23" s="35" t="s">
        <v>90</v>
      </c>
      <c r="E23" s="80">
        <f>((B23*211)+200000)/100000</f>
        <v>2.2109999999999999</v>
      </c>
      <c r="F23" s="85"/>
      <c r="G23" s="85"/>
      <c r="H23" s="87" t="s">
        <v>304</v>
      </c>
    </row>
    <row r="24" spans="1:8" ht="16.149999999999999" customHeight="1">
      <c r="A24" s="130"/>
      <c r="B24" s="86">
        <v>100</v>
      </c>
      <c r="C24" s="49" t="s">
        <v>85</v>
      </c>
      <c r="D24" s="35" t="s">
        <v>90</v>
      </c>
      <c r="E24" s="80">
        <f>((B24*211)+200000)/100000</f>
        <v>2.2109999999999999</v>
      </c>
      <c r="F24" s="85"/>
      <c r="G24" s="85"/>
      <c r="H24" s="87" t="s">
        <v>305</v>
      </c>
    </row>
    <row r="25" spans="1:8" ht="16.149999999999999" customHeight="1">
      <c r="A25" s="129" t="s">
        <v>42</v>
      </c>
      <c r="B25" s="86">
        <v>100</v>
      </c>
      <c r="C25" s="48" t="s">
        <v>98</v>
      </c>
      <c r="D25" s="35" t="s">
        <v>90</v>
      </c>
      <c r="E25" s="80">
        <f>((B25*211)+200000)/100000</f>
        <v>2.2109999999999999</v>
      </c>
      <c r="F25" s="85"/>
      <c r="G25" s="85"/>
      <c r="H25" s="98" t="s">
        <v>306</v>
      </c>
    </row>
    <row r="26" spans="1:8" ht="16.149999999999999" customHeight="1">
      <c r="A26" s="132"/>
      <c r="B26" s="86">
        <v>100</v>
      </c>
      <c r="C26" s="49" t="s">
        <v>81</v>
      </c>
      <c r="D26" s="35" t="s">
        <v>90</v>
      </c>
      <c r="E26" s="80">
        <f>((B26*211)+100000)/100000</f>
        <v>1.2110000000000001</v>
      </c>
      <c r="F26" s="85"/>
      <c r="G26" s="85"/>
      <c r="H26" s="98" t="s">
        <v>307</v>
      </c>
    </row>
    <row r="27" spans="1:8" ht="16.149999999999999" customHeight="1">
      <c r="A27" s="132"/>
      <c r="B27" s="86">
        <v>100</v>
      </c>
      <c r="C27" s="49" t="s">
        <v>135</v>
      </c>
      <c r="D27" s="35" t="s">
        <v>90</v>
      </c>
      <c r="E27" s="80">
        <f>((B27*211)+200000)/100000</f>
        <v>2.2109999999999999</v>
      </c>
      <c r="F27" s="85"/>
      <c r="G27" s="85"/>
      <c r="H27" s="98" t="s">
        <v>308</v>
      </c>
    </row>
    <row r="28" spans="1:8" ht="29.45" customHeight="1">
      <c r="A28" s="130"/>
      <c r="B28" s="86">
        <v>100</v>
      </c>
      <c r="C28" s="49" t="s">
        <v>94</v>
      </c>
      <c r="D28" s="35"/>
      <c r="E28" s="80">
        <f>((B28*211)+100000)/100000</f>
        <v>1.2110000000000001</v>
      </c>
      <c r="F28" s="85"/>
      <c r="G28" s="85"/>
      <c r="H28" s="98" t="s">
        <v>309</v>
      </c>
    </row>
    <row r="29" spans="1:8" ht="30">
      <c r="A29" s="44" t="s">
        <v>42</v>
      </c>
      <c r="B29" s="86">
        <v>1200</v>
      </c>
      <c r="C29" s="78" t="s">
        <v>47</v>
      </c>
      <c r="D29" s="35" t="s">
        <v>90</v>
      </c>
      <c r="E29" s="80">
        <f t="shared" ref="E29:E30" si="2">B29*211/100000</f>
        <v>2.532</v>
      </c>
      <c r="F29" s="85"/>
      <c r="G29" s="85"/>
      <c r="H29" s="87" t="s">
        <v>310</v>
      </c>
    </row>
    <row r="30" spans="1:8" ht="33.6" customHeight="1">
      <c r="A30" s="44" t="s">
        <v>49</v>
      </c>
      <c r="B30" s="86">
        <v>100</v>
      </c>
      <c r="C30" s="72" t="s">
        <v>50</v>
      </c>
      <c r="D30" s="35" t="s">
        <v>90</v>
      </c>
      <c r="E30" s="80">
        <f t="shared" si="2"/>
        <v>0.21099999999999999</v>
      </c>
      <c r="F30" s="85"/>
      <c r="G30" s="85"/>
      <c r="H30" s="98" t="s">
        <v>311</v>
      </c>
    </row>
    <row r="31" spans="1:8" ht="30">
      <c r="A31" s="110" t="s">
        <v>51</v>
      </c>
      <c r="B31" s="86">
        <v>100</v>
      </c>
      <c r="C31" s="77" t="s">
        <v>52</v>
      </c>
      <c r="D31" s="35" t="s">
        <v>90</v>
      </c>
      <c r="E31" s="80">
        <f>((B31*211)+197000.67)/100000</f>
        <v>2.1810067000000002</v>
      </c>
      <c r="F31" s="85"/>
      <c r="G31" s="85"/>
      <c r="H31" s="98" t="s">
        <v>312</v>
      </c>
    </row>
    <row r="32" spans="1:8" ht="16.149999999999999" customHeight="1">
      <c r="A32" s="110"/>
      <c r="B32" s="86">
        <v>100</v>
      </c>
      <c r="C32" s="77" t="s">
        <v>53</v>
      </c>
      <c r="D32" s="35" t="s">
        <v>90</v>
      </c>
      <c r="E32" s="80">
        <f>((B32*211)+200000)/100000</f>
        <v>2.2109999999999999</v>
      </c>
      <c r="F32" s="85"/>
      <c r="G32" s="85"/>
      <c r="H32" s="87" t="s">
        <v>313</v>
      </c>
    </row>
    <row r="33" spans="1:12" ht="16.149999999999999" customHeight="1">
      <c r="A33" s="131" t="s">
        <v>55</v>
      </c>
      <c r="B33" s="86">
        <v>100</v>
      </c>
      <c r="C33" s="49" t="s">
        <v>88</v>
      </c>
      <c r="D33" s="35" t="s">
        <v>90</v>
      </c>
      <c r="E33" s="80">
        <f>((B33*211)+200000)/100000</f>
        <v>2.2109999999999999</v>
      </c>
      <c r="F33" s="85"/>
      <c r="G33" s="85"/>
      <c r="H33" s="98" t="s">
        <v>314</v>
      </c>
    </row>
    <row r="34" spans="1:12" ht="16.149999999999999" customHeight="1">
      <c r="A34" s="131"/>
      <c r="B34" s="87">
        <v>100</v>
      </c>
      <c r="C34" s="88" t="s">
        <v>92</v>
      </c>
      <c r="D34" s="35" t="s">
        <v>90</v>
      </c>
      <c r="E34" s="80">
        <f>((B34*211)+221000)/100000</f>
        <v>2.4209999999999998</v>
      </c>
      <c r="F34" s="85"/>
      <c r="G34" s="85"/>
      <c r="H34" s="98" t="s">
        <v>315</v>
      </c>
    </row>
    <row r="35" spans="1:12" ht="16.149999999999999" customHeight="1">
      <c r="A35" s="57"/>
      <c r="B35" s="66">
        <f>B34+B33+B32+B31+B30+B29+B27+B26+B25+B24+B23+B21+B20+B19+B18+B17+B16+B14+B13+B11+B10+B28+B12</f>
        <v>22500</v>
      </c>
      <c r="C35" s="57"/>
      <c r="D35" s="57"/>
      <c r="E35" s="82">
        <f>E32+E31+E30+E29+E27+E25+E23+E21+E20+E19+E18+E17+E16+E14+E13+E11+E10+E26+E34+E33+E24+E28+E12</f>
        <v>79.125006699999986</v>
      </c>
      <c r="F35" s="83"/>
      <c r="G35" s="57"/>
      <c r="H35" s="57"/>
    </row>
    <row r="36" spans="1:12" ht="16.149999999999999" customHeight="1">
      <c r="A36" s="57"/>
      <c r="B36" s="67">
        <f>B3*100</f>
        <v>22500</v>
      </c>
      <c r="C36" s="57"/>
      <c r="D36" s="57"/>
      <c r="E36" s="68">
        <f>(E2+E3)/100000</f>
        <v>79.125</v>
      </c>
      <c r="F36" s="83"/>
      <c r="G36" s="57"/>
      <c r="H36" s="57"/>
      <c r="I36" s="37"/>
      <c r="J36" s="37"/>
      <c r="L36" s="37"/>
    </row>
    <row r="37" spans="1:12" ht="16.149999999999999" customHeight="1">
      <c r="A37" s="69" t="s">
        <v>57</v>
      </c>
      <c r="B37" s="57"/>
      <c r="C37" s="70">
        <f>B36*211/100000</f>
        <v>47.475000000000001</v>
      </c>
      <c r="D37" s="71" t="s">
        <v>58</v>
      </c>
      <c r="E37" s="57"/>
      <c r="F37" s="83"/>
      <c r="G37" s="57"/>
      <c r="H37" s="57"/>
    </row>
    <row r="38" spans="1:12" ht="16.149999999999999" customHeight="1">
      <c r="A38" s="69" t="s">
        <v>59</v>
      </c>
      <c r="B38" s="57"/>
      <c r="C38" s="70">
        <f>C37*2/3</f>
        <v>31.650000000000002</v>
      </c>
      <c r="D38" s="71" t="s">
        <v>58</v>
      </c>
      <c r="E38" s="57"/>
      <c r="F38" s="83"/>
      <c r="G38" s="57"/>
      <c r="H38" s="57"/>
    </row>
    <row r="39" spans="1:12" ht="16.149999999999999" customHeight="1">
      <c r="A39" s="71" t="s">
        <v>60</v>
      </c>
      <c r="B39" s="57"/>
      <c r="C39" s="57"/>
      <c r="D39" s="57"/>
      <c r="E39" s="57"/>
      <c r="F39" s="83"/>
      <c r="G39" s="57"/>
      <c r="H39" s="57"/>
    </row>
  </sheetData>
  <mergeCells count="17">
    <mergeCell ref="A22:H22"/>
    <mergeCell ref="A31:A32"/>
    <mergeCell ref="A33:A34"/>
    <mergeCell ref="A23:A24"/>
    <mergeCell ref="A25:A28"/>
    <mergeCell ref="G7:G8"/>
    <mergeCell ref="H7:H8"/>
    <mergeCell ref="A9:H9"/>
    <mergeCell ref="A15:H15"/>
    <mergeCell ref="A16:A17"/>
    <mergeCell ref="E7:E8"/>
    <mergeCell ref="F7:F8"/>
    <mergeCell ref="A19:A20"/>
    <mergeCell ref="A7:A8"/>
    <mergeCell ref="B7:B8"/>
    <mergeCell ref="C7:C8"/>
    <mergeCell ref="D7:D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K42"/>
  <sheetViews>
    <sheetView workbookViewId="0">
      <selection activeCell="A14" sqref="A14:H14"/>
    </sheetView>
  </sheetViews>
  <sheetFormatPr defaultRowHeight="15"/>
  <cols>
    <col min="1" max="1" width="18.7109375" customWidth="1"/>
    <col min="3" max="3" width="22.28515625" bestFit="1" customWidth="1"/>
    <col min="4" max="4" width="19.140625" customWidth="1"/>
    <col min="5" max="5" width="17.28515625" customWidth="1"/>
    <col min="8" max="8" width="24.7109375" customWidth="1"/>
  </cols>
  <sheetData>
    <row r="1" spans="1:10">
      <c r="A1" s="58" t="s">
        <v>86</v>
      </c>
      <c r="B1" s="59"/>
      <c r="C1" s="60"/>
      <c r="D1" s="60" t="s">
        <v>0</v>
      </c>
      <c r="E1" s="60"/>
      <c r="F1" s="59"/>
      <c r="G1" s="59"/>
      <c r="H1" s="75"/>
    </row>
    <row r="2" spans="1:10">
      <c r="A2" s="61"/>
      <c r="B2" s="59"/>
      <c r="C2" s="62"/>
      <c r="D2" s="62" t="s">
        <v>1</v>
      </c>
      <c r="E2" s="63">
        <f>B3*211*100</f>
        <v>6414400</v>
      </c>
      <c r="F2" s="59"/>
      <c r="G2" s="59"/>
      <c r="H2" s="75"/>
    </row>
    <row r="3" spans="1:10">
      <c r="A3" s="58" t="s">
        <v>2</v>
      </c>
      <c r="B3" s="59">
        <v>304</v>
      </c>
      <c r="C3" s="62"/>
      <c r="D3" s="62" t="s">
        <v>3</v>
      </c>
      <c r="E3" s="64">
        <f>E2*2/3</f>
        <v>4276266.666666667</v>
      </c>
      <c r="F3" s="59"/>
      <c r="G3" s="59"/>
      <c r="H3" s="75"/>
    </row>
    <row r="4" spans="1:10">
      <c r="A4" s="73"/>
      <c r="B4" s="74"/>
      <c r="C4" s="62"/>
      <c r="D4" s="62" t="s">
        <v>4</v>
      </c>
      <c r="E4" s="64">
        <f>SUM(E2:E3)</f>
        <v>10690666.666666668</v>
      </c>
      <c r="F4" s="59"/>
      <c r="G4" s="59"/>
      <c r="H4" s="75"/>
    </row>
    <row r="5" spans="1:10">
      <c r="A5" s="73"/>
      <c r="B5" s="74"/>
      <c r="C5" s="62"/>
      <c r="D5" s="62" t="s">
        <v>5</v>
      </c>
      <c r="E5" s="63">
        <f>E4*0.06</f>
        <v>641440</v>
      </c>
      <c r="F5" s="59"/>
      <c r="G5" s="59"/>
      <c r="H5" s="75"/>
    </row>
    <row r="6" spans="1:10">
      <c r="A6" s="73"/>
      <c r="B6" s="74"/>
      <c r="C6" s="62"/>
      <c r="D6" s="62" t="s">
        <v>6</v>
      </c>
      <c r="E6" s="34">
        <f>E5+E4</f>
        <v>11332106.666666668</v>
      </c>
      <c r="F6" s="59"/>
      <c r="G6" s="59"/>
      <c r="H6" s="75"/>
    </row>
    <row r="7" spans="1:10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10">
      <c r="A8" s="121"/>
      <c r="B8" s="122"/>
      <c r="C8" s="124"/>
      <c r="D8" s="126"/>
      <c r="E8" s="128"/>
      <c r="F8" s="128"/>
      <c r="G8" s="119"/>
      <c r="H8" s="120"/>
    </row>
    <row r="9" spans="1:10">
      <c r="A9" s="113" t="s">
        <v>15</v>
      </c>
      <c r="B9" s="113"/>
      <c r="C9" s="113"/>
      <c r="D9" s="113"/>
      <c r="E9" s="113"/>
      <c r="F9" s="113"/>
      <c r="G9" s="113"/>
      <c r="H9" s="113"/>
    </row>
    <row r="10" spans="1:10" ht="45">
      <c r="A10" s="39" t="s">
        <v>16</v>
      </c>
      <c r="B10" s="76">
        <v>5200</v>
      </c>
      <c r="C10" s="77" t="s">
        <v>17</v>
      </c>
      <c r="D10" s="35" t="s">
        <v>87</v>
      </c>
      <c r="E10" s="80">
        <f>B10*211/100000</f>
        <v>10.972</v>
      </c>
      <c r="F10" s="76"/>
      <c r="G10" s="65"/>
      <c r="H10" s="98" t="s">
        <v>316</v>
      </c>
      <c r="I10" t="s">
        <v>347</v>
      </c>
    </row>
    <row r="11" spans="1:10" ht="16.149999999999999" customHeight="1">
      <c r="A11" s="46" t="s">
        <v>19</v>
      </c>
      <c r="B11" s="76">
        <v>100</v>
      </c>
      <c r="C11" s="79" t="s">
        <v>21</v>
      </c>
      <c r="D11" s="35" t="s">
        <v>87</v>
      </c>
      <c r="E11" s="80">
        <f>((B11*211)+500000)/100000</f>
        <v>5.2110000000000003</v>
      </c>
      <c r="F11" s="76"/>
      <c r="G11" s="65"/>
      <c r="H11" s="98" t="s">
        <v>317</v>
      </c>
    </row>
    <row r="12" spans="1:10" ht="30">
      <c r="A12" s="39" t="s">
        <v>24</v>
      </c>
      <c r="B12" s="76">
        <v>200</v>
      </c>
      <c r="C12" s="78" t="s">
        <v>25</v>
      </c>
      <c r="D12" s="35" t="s">
        <v>87</v>
      </c>
      <c r="E12" s="80">
        <f>((B12*211)+250000)/100000</f>
        <v>2.9220000000000002</v>
      </c>
      <c r="F12" s="76"/>
      <c r="G12" s="65"/>
      <c r="H12" s="98" t="s">
        <v>318</v>
      </c>
    </row>
    <row r="13" spans="1:10" ht="16.149999999999999" customHeight="1">
      <c r="A13" s="41" t="s">
        <v>26</v>
      </c>
      <c r="B13" s="76">
        <v>7000</v>
      </c>
      <c r="C13" s="81" t="s">
        <v>27</v>
      </c>
      <c r="D13" s="35" t="s">
        <v>87</v>
      </c>
      <c r="E13" s="80">
        <f t="shared" ref="E13" si="0">B13*211/100000</f>
        <v>14.77</v>
      </c>
      <c r="F13" s="76"/>
      <c r="G13" s="65"/>
      <c r="H13" s="92" t="s">
        <v>319</v>
      </c>
      <c r="I13" t="s">
        <v>349</v>
      </c>
    </row>
    <row r="14" spans="1:10" ht="16.149999999999999" customHeight="1">
      <c r="A14" s="112" t="s">
        <v>28</v>
      </c>
      <c r="B14" s="112"/>
      <c r="C14" s="112"/>
      <c r="D14" s="112"/>
      <c r="E14" s="112"/>
      <c r="F14" s="112"/>
      <c r="G14" s="112"/>
      <c r="H14" s="112"/>
      <c r="I14" t="s">
        <v>348</v>
      </c>
    </row>
    <row r="15" spans="1:10" ht="16.149999999999999" customHeight="1">
      <c r="A15" s="116" t="s">
        <v>29</v>
      </c>
      <c r="B15" s="84">
        <v>500</v>
      </c>
      <c r="C15" s="78" t="s">
        <v>18</v>
      </c>
      <c r="D15" s="35" t="s">
        <v>87</v>
      </c>
      <c r="E15" s="80">
        <f t="shared" ref="E15:E20" si="1">B15*211/100000</f>
        <v>1.0549999999999999</v>
      </c>
      <c r="F15" s="84"/>
      <c r="G15" s="84"/>
      <c r="H15" s="87" t="s">
        <v>320</v>
      </c>
    </row>
    <row r="16" spans="1:10" ht="16.149999999999999" customHeight="1">
      <c r="A16" s="117"/>
      <c r="B16" s="84">
        <v>7000</v>
      </c>
      <c r="C16" s="79" t="s">
        <v>26</v>
      </c>
      <c r="D16" s="35" t="s">
        <v>87</v>
      </c>
      <c r="E16" s="80">
        <f t="shared" si="1"/>
        <v>14.77</v>
      </c>
      <c r="F16" s="84"/>
      <c r="G16" s="84"/>
      <c r="H16" s="98" t="s">
        <v>321</v>
      </c>
      <c r="I16" t="s">
        <v>350</v>
      </c>
      <c r="J16" t="s">
        <v>351</v>
      </c>
    </row>
    <row r="17" spans="1:11" ht="30">
      <c r="A17" s="42" t="s">
        <v>30</v>
      </c>
      <c r="B17" s="84">
        <v>100</v>
      </c>
      <c r="C17" s="78" t="s">
        <v>31</v>
      </c>
      <c r="D17" s="35" t="s">
        <v>87</v>
      </c>
      <c r="E17" s="80">
        <f>((B17*211)+100000)/100000</f>
        <v>1.2110000000000001</v>
      </c>
      <c r="F17" s="84"/>
      <c r="G17" s="84"/>
      <c r="H17" s="87" t="s">
        <v>322</v>
      </c>
    </row>
    <row r="18" spans="1:11" ht="16.149999999999999" customHeight="1">
      <c r="A18" s="116" t="s">
        <v>34</v>
      </c>
      <c r="B18" s="84">
        <v>100</v>
      </c>
      <c r="C18" s="78" t="s">
        <v>35</v>
      </c>
      <c r="D18" s="35" t="s">
        <v>87</v>
      </c>
      <c r="E18" s="80">
        <f>((B18*211)+450000)/100000</f>
        <v>4.7110000000000003</v>
      </c>
      <c r="F18" s="84"/>
      <c r="G18" s="84"/>
      <c r="H18" s="93" t="s">
        <v>323</v>
      </c>
    </row>
    <row r="19" spans="1:11" ht="16.149999999999999" customHeight="1">
      <c r="A19" s="117"/>
      <c r="B19" s="76">
        <v>100</v>
      </c>
      <c r="C19" s="78" t="s">
        <v>36</v>
      </c>
      <c r="D19" s="35" t="s">
        <v>87</v>
      </c>
      <c r="E19" s="80">
        <f>((B19*211)+180000)/100000</f>
        <v>2.0110000000000001</v>
      </c>
      <c r="F19" s="76"/>
      <c r="G19" s="65"/>
      <c r="H19" s="98" t="s">
        <v>324</v>
      </c>
    </row>
    <row r="20" spans="1:11" ht="30">
      <c r="A20" s="44" t="s">
        <v>37</v>
      </c>
      <c r="B20" s="76">
        <v>8000</v>
      </c>
      <c r="C20" s="78" t="s">
        <v>38</v>
      </c>
      <c r="D20" s="35" t="s">
        <v>87</v>
      </c>
      <c r="E20" s="80">
        <f t="shared" si="1"/>
        <v>16.88</v>
      </c>
      <c r="F20" s="76"/>
      <c r="G20" s="65"/>
      <c r="H20" s="98" t="s">
        <v>325</v>
      </c>
    </row>
    <row r="21" spans="1:11" ht="16.149999999999999" customHeight="1">
      <c r="A21" s="109" t="s">
        <v>39</v>
      </c>
      <c r="B21" s="109"/>
      <c r="C21" s="109"/>
      <c r="D21" s="109"/>
      <c r="E21" s="109"/>
      <c r="F21" s="109"/>
      <c r="G21" s="109"/>
      <c r="H21" s="109"/>
    </row>
    <row r="22" spans="1:11" ht="16.149999999999999" customHeight="1">
      <c r="A22" s="129" t="s">
        <v>40</v>
      </c>
      <c r="B22" s="86">
        <v>50</v>
      </c>
      <c r="C22" s="49" t="s">
        <v>85</v>
      </c>
      <c r="D22" s="35" t="s">
        <v>87</v>
      </c>
      <c r="E22" s="80">
        <f>((B22*211)+200000)/100000</f>
        <v>2.1055000000000001</v>
      </c>
      <c r="F22" s="85"/>
      <c r="G22" s="85"/>
      <c r="H22" s="100" t="s">
        <v>326</v>
      </c>
    </row>
    <row r="23" spans="1:11" ht="16.149999999999999" customHeight="1">
      <c r="A23" s="130"/>
      <c r="B23" s="86">
        <v>50</v>
      </c>
      <c r="C23" s="49" t="s">
        <v>84</v>
      </c>
      <c r="D23" s="35" t="s">
        <v>87</v>
      </c>
      <c r="E23" s="80">
        <f>((B23*211)+200000)/100000</f>
        <v>2.1055000000000001</v>
      </c>
      <c r="F23" s="85"/>
      <c r="G23" s="85"/>
      <c r="H23" s="100" t="s">
        <v>327</v>
      </c>
    </row>
    <row r="24" spans="1:11" ht="16.149999999999999" customHeight="1">
      <c r="A24" s="116" t="s">
        <v>42</v>
      </c>
      <c r="B24" s="86">
        <v>50</v>
      </c>
      <c r="C24" s="48" t="s">
        <v>98</v>
      </c>
      <c r="D24" s="35" t="s">
        <v>87</v>
      </c>
      <c r="E24" s="80">
        <f>((B24*211)+400000)/100000</f>
        <v>4.1055000000000001</v>
      </c>
      <c r="F24" s="85"/>
      <c r="G24" s="85"/>
      <c r="H24" s="99" t="s">
        <v>328</v>
      </c>
    </row>
    <row r="25" spans="1:11" ht="16.149999999999999" customHeight="1">
      <c r="A25" s="118"/>
      <c r="B25" s="86">
        <v>50</v>
      </c>
      <c r="C25" s="49" t="s">
        <v>78</v>
      </c>
      <c r="D25" s="35" t="s">
        <v>87</v>
      </c>
      <c r="E25" s="80">
        <f>((B25*211)+300000)/100000</f>
        <v>3.1055000000000001</v>
      </c>
      <c r="F25" s="85"/>
      <c r="G25" s="85"/>
      <c r="H25" s="100" t="s">
        <v>329</v>
      </c>
    </row>
    <row r="26" spans="1:11" ht="16.149999999999999" customHeight="1">
      <c r="A26" s="118"/>
      <c r="B26" s="86">
        <v>50</v>
      </c>
      <c r="C26" s="49" t="s">
        <v>135</v>
      </c>
      <c r="D26" s="35" t="s">
        <v>87</v>
      </c>
      <c r="E26" s="80">
        <f>((B26*211)+400000)/100000</f>
        <v>4.1055000000000001</v>
      </c>
      <c r="F26" s="85"/>
      <c r="G26" s="85"/>
      <c r="H26" s="99" t="s">
        <v>330</v>
      </c>
    </row>
    <row r="27" spans="1:11" ht="45">
      <c r="A27" s="42" t="s">
        <v>42</v>
      </c>
      <c r="B27" s="86">
        <v>1500</v>
      </c>
      <c r="C27" s="78" t="s">
        <v>47</v>
      </c>
      <c r="D27" s="35" t="s">
        <v>87</v>
      </c>
      <c r="E27" s="80">
        <f t="shared" ref="E27:E28" si="2">B27*211/100000</f>
        <v>3.165</v>
      </c>
      <c r="F27" s="85"/>
      <c r="G27" s="85"/>
      <c r="H27" s="100" t="s">
        <v>331</v>
      </c>
    </row>
    <row r="28" spans="1:11" ht="30">
      <c r="A28" s="44" t="s">
        <v>49</v>
      </c>
      <c r="B28" s="86">
        <v>100</v>
      </c>
      <c r="C28" s="72" t="s">
        <v>50</v>
      </c>
      <c r="D28" s="35" t="s">
        <v>87</v>
      </c>
      <c r="E28" s="80">
        <f t="shared" si="2"/>
        <v>0.21099999999999999</v>
      </c>
      <c r="F28" s="85"/>
      <c r="G28" s="85"/>
      <c r="H28" s="100" t="s">
        <v>332</v>
      </c>
    </row>
    <row r="29" spans="1:11" ht="30">
      <c r="A29" s="110" t="s">
        <v>51</v>
      </c>
      <c r="B29" s="86">
        <v>50</v>
      </c>
      <c r="C29" s="77" t="s">
        <v>52</v>
      </c>
      <c r="D29" s="35" t="s">
        <v>87</v>
      </c>
      <c r="E29" s="80">
        <f>((B29*211)+200000.67)/100000</f>
        <v>2.1055067000000003</v>
      </c>
      <c r="F29" s="85"/>
      <c r="G29" s="85"/>
      <c r="H29" s="100" t="s">
        <v>333</v>
      </c>
    </row>
    <row r="30" spans="1:11" ht="16.149999999999999" customHeight="1">
      <c r="A30" s="110"/>
      <c r="B30" s="86">
        <v>50</v>
      </c>
      <c r="C30" s="77" t="s">
        <v>53</v>
      </c>
      <c r="D30" s="35" t="s">
        <v>87</v>
      </c>
      <c r="E30" s="80">
        <f>((B30*211)+206000)/100000</f>
        <v>2.1655000000000002</v>
      </c>
      <c r="F30" s="85"/>
      <c r="G30" s="85"/>
      <c r="H30" s="99" t="s">
        <v>334</v>
      </c>
      <c r="K30" s="37"/>
    </row>
    <row r="31" spans="1:11" ht="16.149999999999999" customHeight="1">
      <c r="A31" s="111"/>
      <c r="B31" s="86">
        <v>50</v>
      </c>
      <c r="C31" s="77" t="s">
        <v>54</v>
      </c>
      <c r="D31" s="35" t="s">
        <v>87</v>
      </c>
      <c r="E31" s="80">
        <f>((B31*211)+291000)/100000</f>
        <v>3.0154999999999998</v>
      </c>
      <c r="F31" s="85"/>
      <c r="G31" s="85"/>
      <c r="H31" s="99" t="s">
        <v>335</v>
      </c>
    </row>
    <row r="32" spans="1:11" ht="27" customHeight="1">
      <c r="A32" s="131" t="s">
        <v>55</v>
      </c>
      <c r="B32" s="86">
        <v>50</v>
      </c>
      <c r="C32" s="49" t="s">
        <v>88</v>
      </c>
      <c r="D32" s="35" t="s">
        <v>87</v>
      </c>
      <c r="E32" s="80">
        <f>((B32*211)+300000)/100000</f>
        <v>3.1055000000000001</v>
      </c>
      <c r="F32" s="85"/>
      <c r="G32" s="85"/>
      <c r="H32" s="100" t="s">
        <v>336</v>
      </c>
    </row>
    <row r="33" spans="1:8" ht="16.149999999999999" customHeight="1">
      <c r="A33" s="131"/>
      <c r="B33" s="86">
        <v>50</v>
      </c>
      <c r="C33" s="35" t="s">
        <v>95</v>
      </c>
      <c r="D33" s="35" t="s">
        <v>87</v>
      </c>
      <c r="E33" s="80">
        <f>((B33*211)+300000)/100000</f>
        <v>3.1055000000000001</v>
      </c>
      <c r="F33" s="85"/>
      <c r="G33" s="85"/>
      <c r="H33" s="100" t="s">
        <v>337</v>
      </c>
    </row>
    <row r="34" spans="1:8" ht="16.149999999999999" customHeight="1">
      <c r="A34" s="50"/>
      <c r="B34" s="51"/>
      <c r="C34" s="52"/>
      <c r="D34" s="53"/>
      <c r="E34" s="54"/>
      <c r="F34" s="55"/>
      <c r="G34" s="55"/>
      <c r="H34" s="56"/>
    </row>
    <row r="35" spans="1:8" ht="16.149999999999999" customHeight="1">
      <c r="A35" s="50"/>
      <c r="B35" s="51"/>
      <c r="C35" s="52"/>
      <c r="D35" s="53"/>
      <c r="E35" s="54"/>
      <c r="F35" s="55"/>
      <c r="G35" s="55"/>
      <c r="H35" s="56"/>
    </row>
    <row r="36" spans="1:8" ht="16.149999999999999" customHeight="1">
      <c r="A36" s="57"/>
      <c r="B36" s="66">
        <f>B31+B30+B29+B28+B27+B26+B24+B22+B20+B19+B18+B17+B16+B15+B13+B12+B11+B10+B25+B33+B32+B23</f>
        <v>30400</v>
      </c>
      <c r="C36" s="57"/>
      <c r="D36" s="57"/>
      <c r="E36" s="82">
        <f>E31+E30+E29+E28+E27+E26+E24+E22+E20+E19+E18+E17+E16+E15+E13+E12+E11+E10+E25+E33+E32+E23</f>
        <v>106.91400670000002</v>
      </c>
      <c r="F36" s="83"/>
      <c r="G36" s="57"/>
      <c r="H36" s="57"/>
    </row>
    <row r="37" spans="1:8" ht="16.149999999999999" customHeight="1">
      <c r="A37" s="57"/>
      <c r="B37" s="67">
        <f>B3*100</f>
        <v>30400</v>
      </c>
      <c r="C37" s="57"/>
      <c r="D37" s="57"/>
      <c r="E37" s="68">
        <f>(E2+E3)/100000</f>
        <v>106.90666666666668</v>
      </c>
      <c r="F37" s="83"/>
      <c r="G37" s="57"/>
      <c r="H37" s="57"/>
    </row>
    <row r="38" spans="1:8" ht="16.149999999999999" customHeight="1">
      <c r="A38" s="69" t="s">
        <v>57</v>
      </c>
      <c r="B38" s="57"/>
      <c r="C38" s="70">
        <f>B37*211/100000</f>
        <v>64.144000000000005</v>
      </c>
      <c r="D38" s="71" t="s">
        <v>58</v>
      </c>
      <c r="E38" s="57"/>
      <c r="F38" s="83"/>
      <c r="G38" s="57"/>
      <c r="H38" s="57"/>
    </row>
    <row r="39" spans="1:8" ht="16.149999999999999" customHeight="1">
      <c r="A39" s="69" t="s">
        <v>59</v>
      </c>
      <c r="B39" s="57"/>
      <c r="C39" s="70">
        <f>C38*2/3</f>
        <v>42.762666666666668</v>
      </c>
      <c r="D39" s="71" t="s">
        <v>58</v>
      </c>
      <c r="E39" s="57"/>
      <c r="F39" s="83"/>
      <c r="G39" s="57"/>
      <c r="H39" s="57"/>
    </row>
    <row r="40" spans="1:8" ht="16.149999999999999" customHeight="1">
      <c r="A40" s="71" t="s">
        <v>60</v>
      </c>
      <c r="B40" s="57"/>
      <c r="C40" s="57"/>
      <c r="D40" s="57"/>
      <c r="E40" s="57"/>
      <c r="F40" s="83"/>
      <c r="G40" s="57"/>
      <c r="H40" s="57"/>
    </row>
    <row r="41" spans="1:8" ht="16.149999999999999" customHeight="1"/>
    <row r="42" spans="1:8" ht="16.149999999999999" customHeight="1"/>
  </sheetData>
  <mergeCells count="17">
    <mergeCell ref="A21:H21"/>
    <mergeCell ref="A24:A26"/>
    <mergeCell ref="A29:A31"/>
    <mergeCell ref="A32:A33"/>
    <mergeCell ref="A22:A23"/>
    <mergeCell ref="G7:G8"/>
    <mergeCell ref="H7:H8"/>
    <mergeCell ref="A9:H9"/>
    <mergeCell ref="A14:H14"/>
    <mergeCell ref="A15:A16"/>
    <mergeCell ref="E7:E8"/>
    <mergeCell ref="F7:F8"/>
    <mergeCell ref="A18:A19"/>
    <mergeCell ref="A7:A8"/>
    <mergeCell ref="B7:B8"/>
    <mergeCell ref="C7:C8"/>
    <mergeCell ref="D7:D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J32"/>
  <sheetViews>
    <sheetView workbookViewId="0">
      <selection activeCell="I15" sqref="I15"/>
    </sheetView>
  </sheetViews>
  <sheetFormatPr defaultRowHeight="15"/>
  <cols>
    <col min="1" max="1" width="18.7109375" customWidth="1"/>
    <col min="2" max="2" width="10.28515625" customWidth="1"/>
    <col min="3" max="3" width="22.28515625" customWidth="1"/>
    <col min="4" max="4" width="18.28515625" customWidth="1"/>
    <col min="5" max="5" width="17.28515625" customWidth="1"/>
    <col min="8" max="8" width="24.140625" bestFit="1" customWidth="1"/>
    <col min="9" max="9" width="19.28515625" customWidth="1"/>
  </cols>
  <sheetData>
    <row r="1" spans="1:8">
      <c r="A1" s="58" t="s">
        <v>96</v>
      </c>
      <c r="B1" s="59"/>
      <c r="C1" s="60"/>
      <c r="D1" s="60" t="s">
        <v>0</v>
      </c>
      <c r="E1" s="60"/>
      <c r="F1" s="59"/>
      <c r="G1" s="59"/>
      <c r="H1" s="75"/>
    </row>
    <row r="2" spans="1:8">
      <c r="A2" s="61"/>
      <c r="B2" s="59"/>
      <c r="C2" s="62"/>
      <c r="D2" s="62" t="s">
        <v>1</v>
      </c>
      <c r="E2" s="63">
        <f>B3*211*100</f>
        <v>2046700</v>
      </c>
      <c r="F2" s="59"/>
      <c r="G2" s="59"/>
      <c r="H2" s="75"/>
    </row>
    <row r="3" spans="1:8">
      <c r="A3" s="58" t="s">
        <v>2</v>
      </c>
      <c r="B3" s="59">
        <v>97</v>
      </c>
      <c r="C3" s="62"/>
      <c r="D3" s="62" t="s">
        <v>3</v>
      </c>
      <c r="E3" s="64">
        <f>E2*2/3</f>
        <v>1364466.6666666667</v>
      </c>
      <c r="F3" s="59"/>
      <c r="G3" s="59"/>
      <c r="H3" s="75"/>
    </row>
    <row r="4" spans="1:8">
      <c r="A4" s="73"/>
      <c r="B4" s="74"/>
      <c r="C4" s="62"/>
      <c r="D4" s="62" t="s">
        <v>4</v>
      </c>
      <c r="E4" s="64">
        <f>SUM(E2:E3)</f>
        <v>3411166.666666667</v>
      </c>
      <c r="F4" s="59"/>
      <c r="G4" s="59"/>
      <c r="H4" s="75"/>
    </row>
    <row r="5" spans="1:8">
      <c r="A5" s="73"/>
      <c r="B5" s="74"/>
      <c r="C5" s="62"/>
      <c r="D5" s="62" t="s">
        <v>5</v>
      </c>
      <c r="E5" s="63">
        <f>E4*0.06</f>
        <v>204670</v>
      </c>
      <c r="F5" s="59"/>
      <c r="G5" s="59"/>
      <c r="H5" s="75"/>
    </row>
    <row r="6" spans="1:8">
      <c r="A6" s="73"/>
      <c r="B6" s="74"/>
      <c r="C6" s="62"/>
      <c r="D6" s="62" t="s">
        <v>6</v>
      </c>
      <c r="E6" s="34">
        <f>E5+E4</f>
        <v>3615836.666666667</v>
      </c>
      <c r="F6" s="59"/>
      <c r="G6" s="59"/>
      <c r="H6" s="75"/>
    </row>
    <row r="7" spans="1:8" ht="16.149999999999999" customHeight="1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8" ht="27" customHeight="1">
      <c r="A8" s="121"/>
      <c r="B8" s="122"/>
      <c r="C8" s="124"/>
      <c r="D8" s="126"/>
      <c r="E8" s="128"/>
      <c r="F8" s="128"/>
      <c r="G8" s="119"/>
      <c r="H8" s="120"/>
    </row>
    <row r="9" spans="1:8" ht="17.100000000000001" customHeight="1">
      <c r="A9" s="113" t="s">
        <v>15</v>
      </c>
      <c r="B9" s="113"/>
      <c r="C9" s="113"/>
      <c r="D9" s="113"/>
      <c r="E9" s="113"/>
      <c r="F9" s="113"/>
      <c r="G9" s="113"/>
      <c r="H9" s="113"/>
    </row>
    <row r="10" spans="1:8" ht="17.100000000000001" customHeight="1">
      <c r="A10" s="107" t="s">
        <v>16</v>
      </c>
      <c r="B10" s="76">
        <v>1300</v>
      </c>
      <c r="C10" s="77" t="s">
        <v>17</v>
      </c>
      <c r="D10" s="77" t="s">
        <v>97</v>
      </c>
      <c r="E10" s="80">
        <f>B10*211/100000</f>
        <v>2.7429999999999999</v>
      </c>
      <c r="F10" s="76"/>
      <c r="G10" s="65"/>
      <c r="H10" s="133" t="s">
        <v>338</v>
      </c>
    </row>
    <row r="11" spans="1:8" ht="17.100000000000001" customHeight="1">
      <c r="A11" s="46" t="s">
        <v>19</v>
      </c>
      <c r="B11" s="76">
        <v>50</v>
      </c>
      <c r="C11" s="79" t="s">
        <v>21</v>
      </c>
      <c r="D11" s="77" t="s">
        <v>97</v>
      </c>
      <c r="E11" s="80">
        <f>((B11*211)+200000)/100000</f>
        <v>2.1055000000000001</v>
      </c>
      <c r="F11" s="76"/>
      <c r="G11" s="65"/>
      <c r="H11" s="134" t="s">
        <v>357</v>
      </c>
    </row>
    <row r="12" spans="1:8" ht="17.100000000000001" customHeight="1">
      <c r="A12" s="46" t="s">
        <v>91</v>
      </c>
      <c r="B12" s="76">
        <v>50</v>
      </c>
      <c r="C12" s="46" t="s">
        <v>91</v>
      </c>
      <c r="D12" s="77" t="s">
        <v>97</v>
      </c>
      <c r="E12" s="80">
        <f>(B12*211)/100000</f>
        <v>0.1055</v>
      </c>
      <c r="F12" s="76"/>
      <c r="G12" s="65"/>
      <c r="H12" s="134" t="s">
        <v>358</v>
      </c>
    </row>
    <row r="13" spans="1:8" ht="17.100000000000001" customHeight="1">
      <c r="A13" s="107" t="s">
        <v>24</v>
      </c>
      <c r="B13" s="76">
        <v>50</v>
      </c>
      <c r="C13" s="78" t="s">
        <v>25</v>
      </c>
      <c r="D13" s="77" t="s">
        <v>97</v>
      </c>
      <c r="E13" s="80">
        <f>((B13*211)+250000)/100000</f>
        <v>2.6055000000000001</v>
      </c>
      <c r="F13" s="76"/>
      <c r="G13" s="65"/>
      <c r="H13" s="133" t="s">
        <v>339</v>
      </c>
    </row>
    <row r="14" spans="1:8" ht="17.100000000000001" customHeight="1">
      <c r="A14" s="41" t="s">
        <v>26</v>
      </c>
      <c r="B14" s="76">
        <v>1300</v>
      </c>
      <c r="C14" s="81" t="s">
        <v>27</v>
      </c>
      <c r="D14" s="77" t="s">
        <v>97</v>
      </c>
      <c r="E14" s="80">
        <f t="shared" ref="E14" si="0">B14*211/100000</f>
        <v>2.7429999999999999</v>
      </c>
      <c r="F14" s="76"/>
      <c r="G14" s="65"/>
      <c r="H14" s="133" t="s">
        <v>340</v>
      </c>
    </row>
    <row r="15" spans="1:8" ht="17.100000000000001" customHeight="1">
      <c r="A15" s="112" t="s">
        <v>28</v>
      </c>
      <c r="B15" s="112"/>
      <c r="C15" s="112"/>
      <c r="D15" s="112"/>
      <c r="E15" s="112"/>
      <c r="F15" s="112"/>
      <c r="G15" s="112"/>
      <c r="H15" s="112"/>
    </row>
    <row r="16" spans="1:8" ht="17.100000000000001" customHeight="1">
      <c r="A16" s="116" t="s">
        <v>29</v>
      </c>
      <c r="B16" s="106">
        <v>50</v>
      </c>
      <c r="C16" s="78" t="s">
        <v>18</v>
      </c>
      <c r="D16" s="77" t="s">
        <v>97</v>
      </c>
      <c r="E16" s="80">
        <f t="shared" ref="E16:E19" si="1">B16*211/100000</f>
        <v>0.1055</v>
      </c>
      <c r="F16" s="106"/>
      <c r="G16" s="106"/>
      <c r="H16" s="134" t="s">
        <v>359</v>
      </c>
    </row>
    <row r="17" spans="1:10" ht="17.100000000000001" customHeight="1">
      <c r="A17" s="117"/>
      <c r="B17" s="106">
        <v>600</v>
      </c>
      <c r="C17" s="79" t="s">
        <v>26</v>
      </c>
      <c r="D17" s="77" t="s">
        <v>97</v>
      </c>
      <c r="E17" s="80">
        <f t="shared" si="1"/>
        <v>1.266</v>
      </c>
      <c r="F17" s="106"/>
      <c r="G17" s="106"/>
      <c r="H17" s="134" t="s">
        <v>360</v>
      </c>
    </row>
    <row r="18" spans="1:10" ht="17.100000000000001" customHeight="1">
      <c r="A18" s="108" t="s">
        <v>34</v>
      </c>
      <c r="B18" s="106">
        <v>50</v>
      </c>
      <c r="C18" s="78" t="s">
        <v>35</v>
      </c>
      <c r="D18" s="77" t="s">
        <v>97</v>
      </c>
      <c r="E18" s="80">
        <f>((B18*211)+100000)/100000</f>
        <v>1.1054999999999999</v>
      </c>
      <c r="F18" s="106"/>
      <c r="G18" s="106"/>
      <c r="H18" s="133" t="s">
        <v>341</v>
      </c>
    </row>
    <row r="19" spans="1:10" ht="17.100000000000001" customHeight="1">
      <c r="A19" s="105" t="s">
        <v>37</v>
      </c>
      <c r="B19" s="76">
        <v>450</v>
      </c>
      <c r="C19" s="78" t="s">
        <v>38</v>
      </c>
      <c r="D19" s="77" t="s">
        <v>97</v>
      </c>
      <c r="E19" s="80">
        <f t="shared" si="1"/>
        <v>0.94950000000000001</v>
      </c>
      <c r="F19" s="76"/>
      <c r="G19" s="65"/>
      <c r="H19" s="133" t="s">
        <v>342</v>
      </c>
    </row>
    <row r="20" spans="1:10" ht="17.100000000000001" customHeight="1">
      <c r="A20" s="109" t="s">
        <v>39</v>
      </c>
      <c r="B20" s="109"/>
      <c r="C20" s="109"/>
      <c r="D20" s="109"/>
      <c r="E20" s="109"/>
      <c r="F20" s="109"/>
      <c r="G20" s="109"/>
      <c r="H20" s="109"/>
    </row>
    <row r="21" spans="1:10" ht="17.100000000000001" customHeight="1">
      <c r="A21" s="129" t="s">
        <v>42</v>
      </c>
      <c r="B21" s="104">
        <v>50</v>
      </c>
      <c r="C21" s="78" t="s">
        <v>98</v>
      </c>
      <c r="D21" s="77" t="s">
        <v>97</v>
      </c>
      <c r="E21" s="80">
        <f>((B21*211)+200000)/100000</f>
        <v>2.1055000000000001</v>
      </c>
      <c r="F21" s="85"/>
      <c r="G21" s="85"/>
      <c r="H21" s="133" t="s">
        <v>343</v>
      </c>
    </row>
    <row r="22" spans="1:10" ht="17.100000000000001" customHeight="1">
      <c r="A22" s="132"/>
      <c r="B22" s="104">
        <v>50</v>
      </c>
      <c r="C22" s="78" t="s">
        <v>135</v>
      </c>
      <c r="D22" s="77" t="s">
        <v>97</v>
      </c>
      <c r="E22" s="80">
        <f>((B22*211)+217000)/100000</f>
        <v>2.2755000000000001</v>
      </c>
      <c r="F22" s="85"/>
      <c r="G22" s="85"/>
      <c r="H22" s="133" t="s">
        <v>345</v>
      </c>
    </row>
    <row r="23" spans="1:10" ht="17.100000000000001" customHeight="1">
      <c r="A23" s="105" t="s">
        <v>42</v>
      </c>
      <c r="B23" s="104">
        <v>5600</v>
      </c>
      <c r="C23" s="78" t="s">
        <v>47</v>
      </c>
      <c r="D23" s="77" t="s">
        <v>97</v>
      </c>
      <c r="E23" s="80">
        <f t="shared" ref="E23" si="2">B23*211/100000</f>
        <v>11.816000000000001</v>
      </c>
      <c r="F23" s="85"/>
      <c r="G23" s="85"/>
      <c r="H23" s="133" t="s">
        <v>344</v>
      </c>
    </row>
    <row r="24" spans="1:10" ht="17.100000000000001" customHeight="1">
      <c r="A24" s="110" t="s">
        <v>51</v>
      </c>
      <c r="B24" s="104">
        <v>50</v>
      </c>
      <c r="C24" s="77" t="s">
        <v>52</v>
      </c>
      <c r="D24" s="77" t="s">
        <v>97</v>
      </c>
      <c r="E24" s="80">
        <f>((B24*211)+197000.67)/100000</f>
        <v>2.0755067</v>
      </c>
      <c r="F24" s="85"/>
      <c r="G24" s="85"/>
      <c r="H24" s="133" t="s">
        <v>346</v>
      </c>
    </row>
    <row r="25" spans="1:10" ht="17.100000000000001" customHeight="1">
      <c r="A25" s="110"/>
      <c r="B25" s="104">
        <v>50</v>
      </c>
      <c r="C25" s="77" t="s">
        <v>53</v>
      </c>
      <c r="D25" s="77" t="s">
        <v>97</v>
      </c>
      <c r="E25" s="80">
        <f>((B25*211)+200000)/100000</f>
        <v>2.1055000000000001</v>
      </c>
      <c r="F25" s="85"/>
      <c r="G25" s="85"/>
      <c r="H25" s="135" t="s">
        <v>361</v>
      </c>
      <c r="J25" s="37"/>
    </row>
    <row r="26" spans="1:10" ht="17.100000000000001" customHeight="1">
      <c r="A26" s="136"/>
      <c r="B26" s="66">
        <f>B25+B24+B23+B22+B21+B19+B18+B17+B16+B14+B13+B11+B10+B12</f>
        <v>9700</v>
      </c>
      <c r="C26" s="136"/>
      <c r="D26" s="136"/>
      <c r="E26" s="82">
        <f>E25+E24+E23+E22+E21+E19+E18+E17+E16+E14+E13+E11+E10+E12</f>
        <v>34.107006699999992</v>
      </c>
      <c r="F26" s="83"/>
      <c r="G26" s="136"/>
      <c r="H26" s="136"/>
    </row>
    <row r="27" spans="1:10" ht="17.100000000000001" customHeight="1">
      <c r="A27" s="136"/>
      <c r="B27" s="67">
        <f>B3*100</f>
        <v>9700</v>
      </c>
      <c r="C27" s="136"/>
      <c r="D27" s="136"/>
      <c r="E27" s="68">
        <f>(E2+E3)/100000</f>
        <v>34.111666666666672</v>
      </c>
      <c r="F27" s="83"/>
      <c r="G27" s="136"/>
      <c r="H27" s="136"/>
    </row>
    <row r="28" spans="1:10" ht="17.100000000000001" customHeight="1">
      <c r="A28" s="69" t="s">
        <v>57</v>
      </c>
      <c r="B28" s="136"/>
      <c r="C28" s="70">
        <f>B27*211/100000</f>
        <v>20.466999999999999</v>
      </c>
      <c r="D28" s="71" t="s">
        <v>58</v>
      </c>
      <c r="E28" s="136"/>
      <c r="F28" s="83"/>
      <c r="G28" s="136"/>
      <c r="H28" s="136"/>
    </row>
    <row r="29" spans="1:10" ht="17.100000000000001" customHeight="1">
      <c r="A29" s="69" t="s">
        <v>59</v>
      </c>
      <c r="B29" s="136"/>
      <c r="C29" s="70">
        <f>C28*2/3</f>
        <v>13.644666666666666</v>
      </c>
      <c r="D29" s="71" t="s">
        <v>58</v>
      </c>
      <c r="E29" s="136"/>
      <c r="F29" s="83"/>
      <c r="G29" s="136"/>
      <c r="H29" s="136"/>
    </row>
    <row r="30" spans="1:10" ht="17.100000000000001" customHeight="1">
      <c r="A30" s="71" t="s">
        <v>60</v>
      </c>
      <c r="B30" s="136"/>
      <c r="C30" s="136"/>
      <c r="D30" s="136"/>
      <c r="E30" s="136"/>
      <c r="F30" s="83"/>
      <c r="G30" s="136"/>
      <c r="H30" s="136"/>
    </row>
    <row r="31" spans="1:10">
      <c r="A31" s="89"/>
      <c r="B31" s="89"/>
      <c r="C31" s="89"/>
      <c r="D31" s="89"/>
      <c r="E31" s="89"/>
      <c r="F31" s="89"/>
      <c r="G31" s="89"/>
      <c r="H31" s="89"/>
    </row>
    <row r="32" spans="1:10">
      <c r="A32" s="89"/>
      <c r="B32" s="89"/>
      <c r="C32" s="89"/>
      <c r="D32" s="89"/>
      <c r="E32" s="89"/>
      <c r="F32" s="89"/>
      <c r="G32" s="89"/>
      <c r="H32" s="89"/>
    </row>
  </sheetData>
  <mergeCells count="14">
    <mergeCell ref="A20:H20"/>
    <mergeCell ref="A21:A22"/>
    <mergeCell ref="A24:A25"/>
    <mergeCell ref="G7:G8"/>
    <mergeCell ref="H7:H8"/>
    <mergeCell ref="A9:H9"/>
    <mergeCell ref="A15:H15"/>
    <mergeCell ref="A16:A17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L35"/>
  <sheetViews>
    <sheetView workbookViewId="0">
      <selection sqref="A1:H35"/>
    </sheetView>
  </sheetViews>
  <sheetFormatPr defaultRowHeight="15"/>
  <cols>
    <col min="1" max="1" width="22.42578125" customWidth="1"/>
    <col min="3" max="3" width="27.85546875" bestFit="1" customWidth="1"/>
    <col min="4" max="4" width="16.7109375" customWidth="1"/>
    <col min="5" max="5" width="14.7109375" customWidth="1"/>
    <col min="8" max="8" width="23.28515625" bestFit="1" customWidth="1"/>
    <col min="12" max="12" width="11.28515625" bestFit="1" customWidth="1"/>
  </cols>
  <sheetData>
    <row r="1" spans="1:10">
      <c r="A1" s="2" t="s">
        <v>62</v>
      </c>
      <c r="B1" s="3"/>
      <c r="C1" s="4"/>
      <c r="D1" s="4" t="s">
        <v>0</v>
      </c>
      <c r="E1" s="4"/>
      <c r="F1" s="3"/>
      <c r="G1" s="3"/>
      <c r="H1" s="19"/>
    </row>
    <row r="2" spans="1:10">
      <c r="A2" s="5"/>
      <c r="B2" s="3"/>
      <c r="C2" s="6"/>
      <c r="D2" s="6" t="s">
        <v>1</v>
      </c>
      <c r="E2" s="7">
        <f>B3*211*100</f>
        <v>6308900</v>
      </c>
      <c r="F2" s="3"/>
      <c r="G2" s="3"/>
      <c r="H2" s="19"/>
    </row>
    <row r="3" spans="1:10">
      <c r="A3" s="2" t="s">
        <v>2</v>
      </c>
      <c r="B3" s="3">
        <v>299</v>
      </c>
      <c r="C3" s="6"/>
      <c r="D3" s="6" t="s">
        <v>3</v>
      </c>
      <c r="E3" s="8">
        <f>E2*2/3</f>
        <v>4205933.333333333</v>
      </c>
      <c r="F3" s="3"/>
      <c r="G3" s="3"/>
      <c r="H3" s="19"/>
    </row>
    <row r="4" spans="1:10">
      <c r="A4" s="17"/>
      <c r="B4" s="18"/>
      <c r="C4" s="6"/>
      <c r="D4" s="6" t="s">
        <v>4</v>
      </c>
      <c r="E4" s="8">
        <f>SUM(E2:E3)</f>
        <v>10514833.333333332</v>
      </c>
      <c r="F4" s="3"/>
      <c r="G4" s="3"/>
      <c r="H4" s="19"/>
    </row>
    <row r="5" spans="1:10">
      <c r="A5" s="17"/>
      <c r="B5" s="18"/>
      <c r="C5" s="6"/>
      <c r="D5" s="6" t="s">
        <v>5</v>
      </c>
      <c r="E5" s="7">
        <f>E4*0.06</f>
        <v>630889.99999999988</v>
      </c>
      <c r="F5" s="3"/>
      <c r="G5" s="3"/>
      <c r="H5" s="19"/>
    </row>
    <row r="6" spans="1:10">
      <c r="A6" s="17"/>
      <c r="B6" s="18"/>
      <c r="C6" s="6"/>
      <c r="D6" s="6" t="s">
        <v>6</v>
      </c>
      <c r="E6" s="34">
        <f>E5+E4</f>
        <v>11145723.333333332</v>
      </c>
      <c r="F6" s="3"/>
      <c r="G6" s="3"/>
      <c r="H6" s="19"/>
    </row>
    <row r="7" spans="1:10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10">
      <c r="A8" s="121"/>
      <c r="B8" s="122"/>
      <c r="C8" s="124"/>
      <c r="D8" s="126"/>
      <c r="E8" s="128"/>
      <c r="F8" s="128"/>
      <c r="G8" s="119"/>
      <c r="H8" s="120"/>
    </row>
    <row r="9" spans="1:10">
      <c r="A9" s="113" t="s">
        <v>15</v>
      </c>
      <c r="B9" s="113"/>
      <c r="C9" s="113"/>
      <c r="D9" s="113"/>
      <c r="E9" s="113"/>
      <c r="F9" s="113"/>
      <c r="G9" s="113"/>
      <c r="H9" s="113"/>
    </row>
    <row r="10" spans="1:10" ht="30">
      <c r="A10" s="39" t="s">
        <v>16</v>
      </c>
      <c r="B10" s="32">
        <v>900</v>
      </c>
      <c r="C10" s="21" t="s">
        <v>17</v>
      </c>
      <c r="D10" s="35" t="s">
        <v>67</v>
      </c>
      <c r="E10" s="31">
        <f>B10*211/100000</f>
        <v>1.899</v>
      </c>
      <c r="F10" s="32"/>
      <c r="G10" s="9"/>
      <c r="H10" t="s">
        <v>123</v>
      </c>
      <c r="I10" t="s">
        <v>354</v>
      </c>
    </row>
    <row r="11" spans="1:10" ht="30">
      <c r="A11" s="46" t="s">
        <v>19</v>
      </c>
      <c r="B11" s="32">
        <v>200</v>
      </c>
      <c r="C11" s="23" t="s">
        <v>21</v>
      </c>
      <c r="D11" s="35" t="s">
        <v>67</v>
      </c>
      <c r="E11" s="31">
        <f>((B11*211)+300000)/100000</f>
        <v>3.4220000000000002</v>
      </c>
      <c r="F11" s="32"/>
      <c r="G11" s="9"/>
      <c r="H11" s="95" t="s">
        <v>124</v>
      </c>
    </row>
    <row r="12" spans="1:10" ht="30">
      <c r="A12" s="39" t="s">
        <v>24</v>
      </c>
      <c r="B12" s="32">
        <v>100</v>
      </c>
      <c r="C12" s="22" t="s">
        <v>25</v>
      </c>
      <c r="D12" s="35" t="s">
        <v>67</v>
      </c>
      <c r="E12" s="31">
        <f>((B12*211)+250000)/100000</f>
        <v>2.7109999999999999</v>
      </c>
      <c r="F12" s="32"/>
      <c r="G12" s="9"/>
      <c r="H12" s="95" t="s">
        <v>125</v>
      </c>
    </row>
    <row r="13" spans="1:10" ht="30">
      <c r="A13" s="41" t="s">
        <v>26</v>
      </c>
      <c r="B13" s="32">
        <v>6500</v>
      </c>
      <c r="C13" s="25" t="s">
        <v>27</v>
      </c>
      <c r="D13" s="35" t="s">
        <v>67</v>
      </c>
      <c r="E13" s="31">
        <f t="shared" ref="E13" si="0">B13*211/100000</f>
        <v>13.715</v>
      </c>
      <c r="F13" s="32"/>
      <c r="G13" s="9"/>
      <c r="H13" s="95" t="s">
        <v>126</v>
      </c>
      <c r="I13" t="s">
        <v>353</v>
      </c>
    </row>
    <row r="14" spans="1:10">
      <c r="A14" s="112" t="s">
        <v>28</v>
      </c>
      <c r="B14" s="112"/>
      <c r="C14" s="112"/>
      <c r="D14" s="112"/>
      <c r="E14" s="112"/>
      <c r="F14" s="112"/>
      <c r="G14" s="112"/>
      <c r="H14" s="112"/>
    </row>
    <row r="15" spans="1:10" ht="30">
      <c r="A15" s="116" t="s">
        <v>29</v>
      </c>
      <c r="B15" s="30">
        <v>500</v>
      </c>
      <c r="C15" s="22" t="s">
        <v>18</v>
      </c>
      <c r="D15" s="35" t="s">
        <v>67</v>
      </c>
      <c r="E15" s="31">
        <f t="shared" ref="E15:E20" si="1">B15*211/100000</f>
        <v>1.0549999999999999</v>
      </c>
      <c r="F15" s="30"/>
      <c r="G15" s="30"/>
      <c r="H15" s="97" t="s">
        <v>127</v>
      </c>
    </row>
    <row r="16" spans="1:10" ht="30">
      <c r="A16" s="117"/>
      <c r="B16" s="30">
        <v>5650</v>
      </c>
      <c r="C16" s="48" t="s">
        <v>352</v>
      </c>
      <c r="D16" s="35" t="s">
        <v>67</v>
      </c>
      <c r="E16" s="31">
        <f t="shared" si="1"/>
        <v>11.9215</v>
      </c>
      <c r="F16" s="30"/>
      <c r="G16" s="30"/>
      <c r="H16" s="95" t="s">
        <v>128</v>
      </c>
      <c r="J16">
        <f>302*10*211</f>
        <v>637220</v>
      </c>
    </row>
    <row r="17" spans="1:12" ht="30">
      <c r="A17" s="42" t="s">
        <v>32</v>
      </c>
      <c r="B17" s="30">
        <v>1200</v>
      </c>
      <c r="C17" s="22" t="s">
        <v>33</v>
      </c>
      <c r="D17" s="35" t="s">
        <v>67</v>
      </c>
      <c r="E17" s="31">
        <f t="shared" si="1"/>
        <v>2.532</v>
      </c>
      <c r="F17" s="30"/>
      <c r="G17" s="30"/>
      <c r="H17" s="95" t="s">
        <v>129</v>
      </c>
    </row>
    <row r="18" spans="1:12" ht="30">
      <c r="A18" s="116" t="s">
        <v>34</v>
      </c>
      <c r="B18" s="30">
        <v>100</v>
      </c>
      <c r="C18" s="22" t="s">
        <v>35</v>
      </c>
      <c r="D18" s="35" t="s">
        <v>67</v>
      </c>
      <c r="E18" s="31">
        <f>((B18*211)+200000)/100000</f>
        <v>2.2109999999999999</v>
      </c>
      <c r="F18" s="30"/>
      <c r="G18" s="30"/>
      <c r="H18" s="95" t="s">
        <v>130</v>
      </c>
    </row>
    <row r="19" spans="1:12" ht="30">
      <c r="A19" s="117"/>
      <c r="B19" s="32">
        <v>100</v>
      </c>
      <c r="C19" s="22" t="s">
        <v>36</v>
      </c>
      <c r="D19" s="35" t="s">
        <v>67</v>
      </c>
      <c r="E19" s="31">
        <f>((B19*211)+90000)/100000</f>
        <v>1.111</v>
      </c>
      <c r="F19" s="32"/>
      <c r="G19" s="9"/>
      <c r="H19" t="s">
        <v>131</v>
      </c>
    </row>
    <row r="20" spans="1:12" ht="30">
      <c r="A20" s="44" t="s">
        <v>37</v>
      </c>
      <c r="B20" s="32">
        <v>8650</v>
      </c>
      <c r="C20" s="22" t="s">
        <v>38</v>
      </c>
      <c r="D20" s="35" t="s">
        <v>67</v>
      </c>
      <c r="E20" s="31">
        <f t="shared" si="1"/>
        <v>18.2515</v>
      </c>
      <c r="F20" s="32"/>
      <c r="G20" s="9"/>
      <c r="H20" s="95" t="s">
        <v>132</v>
      </c>
      <c r="J20" t="s">
        <v>355</v>
      </c>
    </row>
    <row r="21" spans="1:12">
      <c r="A21" s="109" t="s">
        <v>39</v>
      </c>
      <c r="B21" s="109"/>
      <c r="C21" s="109"/>
      <c r="D21" s="109"/>
      <c r="E21" s="109"/>
      <c r="F21" s="109"/>
      <c r="G21" s="109"/>
      <c r="H21" s="109"/>
    </row>
    <row r="22" spans="1:12" ht="30">
      <c r="A22" s="36" t="s">
        <v>40</v>
      </c>
      <c r="B22" s="33">
        <v>100</v>
      </c>
      <c r="C22" s="22" t="s">
        <v>41</v>
      </c>
      <c r="D22" s="35" t="s">
        <v>67</v>
      </c>
      <c r="E22" s="31">
        <f>((B22*211)+300000)/100000</f>
        <v>3.2109999999999999</v>
      </c>
      <c r="F22" s="29"/>
      <c r="G22" s="29"/>
      <c r="H22" t="s">
        <v>133</v>
      </c>
    </row>
    <row r="23" spans="1:12" ht="30">
      <c r="A23" s="116" t="s">
        <v>42</v>
      </c>
      <c r="B23" s="33">
        <v>200</v>
      </c>
      <c r="C23" s="49" t="s">
        <v>98</v>
      </c>
      <c r="D23" s="35" t="s">
        <v>67</v>
      </c>
      <c r="E23" s="31">
        <f>((B23*211)+400000)/100000</f>
        <v>4.4219999999999997</v>
      </c>
      <c r="F23" s="29"/>
      <c r="G23" s="29"/>
      <c r="H23" s="96" t="s">
        <v>134</v>
      </c>
      <c r="L23" s="37"/>
    </row>
    <row r="24" spans="1:12" ht="30">
      <c r="A24" s="118"/>
      <c r="B24" s="33">
        <v>200</v>
      </c>
      <c r="C24" s="49" t="s">
        <v>135</v>
      </c>
      <c r="D24" s="35" t="s">
        <v>67</v>
      </c>
      <c r="E24" s="31">
        <f>((B24*211)+325000)/100000</f>
        <v>3.6720000000000002</v>
      </c>
      <c r="F24" s="29"/>
      <c r="G24" s="29"/>
      <c r="H24" s="95" t="s">
        <v>136</v>
      </c>
    </row>
    <row r="25" spans="1:12" ht="30">
      <c r="A25" s="117"/>
      <c r="B25" s="33">
        <v>200</v>
      </c>
      <c r="C25" s="22" t="s">
        <v>46</v>
      </c>
      <c r="D25" s="35" t="s">
        <v>67</v>
      </c>
      <c r="E25" s="31">
        <f>((B25*211)+200000)/100000</f>
        <v>2.4220000000000002</v>
      </c>
      <c r="F25" s="29"/>
      <c r="G25" s="29"/>
      <c r="H25" s="95" t="s">
        <v>137</v>
      </c>
      <c r="L25" s="37"/>
    </row>
    <row r="26" spans="1:12" ht="14.45" customHeight="1">
      <c r="A26" s="42" t="s">
        <v>42</v>
      </c>
      <c r="B26" s="33">
        <v>4500</v>
      </c>
      <c r="C26" s="22" t="s">
        <v>47</v>
      </c>
      <c r="D26" s="35" t="s">
        <v>67</v>
      </c>
      <c r="E26" s="31">
        <f t="shared" ref="E26:E27" si="2">B26*211/100000</f>
        <v>9.4949999999999992</v>
      </c>
      <c r="F26" s="29"/>
      <c r="G26" s="29"/>
      <c r="H26" s="95" t="s">
        <v>138</v>
      </c>
      <c r="J26" t="s">
        <v>356</v>
      </c>
      <c r="L26" s="37"/>
    </row>
    <row r="27" spans="1:12" ht="30">
      <c r="A27" s="44" t="s">
        <v>49</v>
      </c>
      <c r="B27" s="33">
        <v>200</v>
      </c>
      <c r="C27" s="16" t="s">
        <v>50</v>
      </c>
      <c r="D27" s="35" t="s">
        <v>67</v>
      </c>
      <c r="E27" s="31">
        <f t="shared" si="2"/>
        <v>0.42199999999999999</v>
      </c>
      <c r="F27" s="29"/>
      <c r="G27" s="29"/>
      <c r="H27" t="s">
        <v>139</v>
      </c>
    </row>
    <row r="28" spans="1:12" ht="30">
      <c r="A28" s="110" t="s">
        <v>51</v>
      </c>
      <c r="B28" s="33">
        <v>200</v>
      </c>
      <c r="C28" s="21" t="s">
        <v>52</v>
      </c>
      <c r="D28" s="35" t="s">
        <v>67</v>
      </c>
      <c r="E28" s="31">
        <f>((B28*211)+1000000)/100000</f>
        <v>10.422000000000001</v>
      </c>
      <c r="F28" s="29"/>
      <c r="G28" s="29"/>
      <c r="H28" s="97" t="s">
        <v>140</v>
      </c>
    </row>
    <row r="29" spans="1:12" ht="30">
      <c r="A29" s="110"/>
      <c r="B29" s="33">
        <v>200</v>
      </c>
      <c r="C29" s="21" t="s">
        <v>53</v>
      </c>
      <c r="D29" s="35" t="s">
        <v>67</v>
      </c>
      <c r="E29" s="31">
        <f>((B29*211)+1000000)/100000</f>
        <v>10.422000000000001</v>
      </c>
      <c r="F29" s="29"/>
      <c r="G29" s="29"/>
      <c r="H29" s="97" t="s">
        <v>141</v>
      </c>
      <c r="K29" s="37"/>
    </row>
    <row r="30" spans="1:12" ht="30">
      <c r="A30" s="111"/>
      <c r="B30" s="33">
        <v>200</v>
      </c>
      <c r="C30" s="21" t="s">
        <v>54</v>
      </c>
      <c r="D30" s="35" t="s">
        <v>67</v>
      </c>
      <c r="E30" s="31">
        <f>((B30*211)+141000)/100000</f>
        <v>1.8320000000000001</v>
      </c>
      <c r="F30" s="29"/>
      <c r="G30" s="29"/>
      <c r="H30" s="95" t="s">
        <v>142</v>
      </c>
    </row>
    <row r="31" spans="1:12" ht="18">
      <c r="A31" s="1"/>
      <c r="B31" s="10">
        <f>B30+B29+B28+B27+B26+B25+B24+B23+B22+B20+B19+B18+B17+B16+B15+B13+B12+B11+B10</f>
        <v>29900</v>
      </c>
      <c r="C31" s="1"/>
      <c r="D31" s="1"/>
      <c r="E31" s="26">
        <f>E30+E29+E28+E27+E26+E25+E24+E23+E22+E20+E19+E18+E17+E16+E15+E13+E12+E11+E10</f>
        <v>105.14899999999999</v>
      </c>
      <c r="F31" s="27"/>
      <c r="G31" s="1"/>
      <c r="H31" s="1"/>
    </row>
    <row r="32" spans="1:12" ht="18">
      <c r="A32" s="1"/>
      <c r="B32" s="11">
        <f>B3*100</f>
        <v>29900</v>
      </c>
      <c r="C32" s="1"/>
      <c r="D32" s="1"/>
      <c r="E32" s="12">
        <f>(E2+E3)/100000</f>
        <v>105.14833333333333</v>
      </c>
      <c r="F32" s="27"/>
      <c r="G32" s="1"/>
      <c r="H32" s="1"/>
    </row>
    <row r="33" spans="1:8" ht="18">
      <c r="A33" s="13" t="s">
        <v>57</v>
      </c>
      <c r="B33" s="1"/>
      <c r="C33" s="14">
        <f>B32*211/100000</f>
        <v>63.088999999999999</v>
      </c>
      <c r="D33" s="15" t="s">
        <v>58</v>
      </c>
      <c r="E33" s="1"/>
      <c r="F33" s="27"/>
      <c r="G33" s="1"/>
      <c r="H33" s="1"/>
    </row>
    <row r="34" spans="1:8" ht="18">
      <c r="A34" s="13" t="s">
        <v>59</v>
      </c>
      <c r="B34" s="1"/>
      <c r="C34" s="14">
        <f>C33*2/3</f>
        <v>42.059333333333335</v>
      </c>
      <c r="D34" s="15" t="s">
        <v>58</v>
      </c>
      <c r="E34" s="1"/>
      <c r="F34" s="27"/>
      <c r="G34" s="1"/>
      <c r="H34" s="1"/>
    </row>
    <row r="35" spans="1:8" ht="18">
      <c r="A35" s="15" t="s">
        <v>60</v>
      </c>
      <c r="B35" s="1"/>
      <c r="C35" s="1"/>
      <c r="D35" s="1"/>
      <c r="E35" s="1"/>
      <c r="F35" s="27"/>
      <c r="G35" s="1"/>
      <c r="H35" s="1"/>
    </row>
  </sheetData>
  <mergeCells count="15">
    <mergeCell ref="A21:H21"/>
    <mergeCell ref="A23:A25"/>
    <mergeCell ref="A28:A30"/>
    <mergeCell ref="G7:G8"/>
    <mergeCell ref="H7:H8"/>
    <mergeCell ref="A9:H9"/>
    <mergeCell ref="A18:A19"/>
    <mergeCell ref="A7:A8"/>
    <mergeCell ref="B7:B8"/>
    <mergeCell ref="C7:C8"/>
    <mergeCell ref="D7:D8"/>
    <mergeCell ref="E7:E8"/>
    <mergeCell ref="F7:F8"/>
    <mergeCell ref="A14:H14"/>
    <mergeCell ref="A15:A1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K34"/>
  <sheetViews>
    <sheetView workbookViewId="0">
      <selection sqref="A1:H34"/>
    </sheetView>
  </sheetViews>
  <sheetFormatPr defaultRowHeight="15"/>
  <cols>
    <col min="1" max="1" width="19.85546875" customWidth="1"/>
    <col min="3" max="3" width="23.140625" customWidth="1"/>
    <col min="4" max="4" width="30" customWidth="1"/>
    <col min="5" max="5" width="15.28515625" customWidth="1"/>
    <col min="8" max="8" width="23.7109375" bestFit="1" customWidth="1"/>
  </cols>
  <sheetData>
    <row r="1" spans="1:8">
      <c r="A1" s="2" t="s">
        <v>63</v>
      </c>
      <c r="B1" s="3"/>
      <c r="C1" s="4"/>
      <c r="D1" s="4" t="s">
        <v>0</v>
      </c>
      <c r="E1" s="4"/>
      <c r="F1" s="3"/>
      <c r="G1" s="3"/>
      <c r="H1" s="19"/>
    </row>
    <row r="2" spans="1:8">
      <c r="A2" s="5"/>
      <c r="B2" s="3"/>
      <c r="C2" s="6"/>
      <c r="D2" s="6" t="s">
        <v>1</v>
      </c>
      <c r="E2" s="7">
        <f>B3*211*100</f>
        <v>12533400</v>
      </c>
      <c r="F2" s="3"/>
      <c r="G2" s="3"/>
      <c r="H2" s="19"/>
    </row>
    <row r="3" spans="1:8">
      <c r="A3" s="2" t="s">
        <v>2</v>
      </c>
      <c r="B3" s="3">
        <v>594</v>
      </c>
      <c r="C3" s="6"/>
      <c r="D3" s="6" t="s">
        <v>3</v>
      </c>
      <c r="E3" s="8">
        <f>E2*2/3</f>
        <v>8355600</v>
      </c>
      <c r="F3" s="3"/>
      <c r="G3" s="3"/>
      <c r="H3" s="19"/>
    </row>
    <row r="4" spans="1:8">
      <c r="A4" s="17"/>
      <c r="B4" s="18"/>
      <c r="C4" s="6"/>
      <c r="D4" s="6" t="s">
        <v>4</v>
      </c>
      <c r="E4" s="8">
        <f>SUM(E2:E3)</f>
        <v>20889000</v>
      </c>
      <c r="F4" s="3"/>
      <c r="G4" s="3"/>
      <c r="H4" s="19"/>
    </row>
    <row r="5" spans="1:8">
      <c r="A5" s="17"/>
      <c r="B5" s="18"/>
      <c r="C5" s="6"/>
      <c r="D5" s="6" t="s">
        <v>5</v>
      </c>
      <c r="E5" s="7">
        <f>E4*0.06</f>
        <v>1253340</v>
      </c>
      <c r="F5" s="3"/>
      <c r="G5" s="3"/>
      <c r="H5" s="19"/>
    </row>
    <row r="6" spans="1:8">
      <c r="A6" s="17"/>
      <c r="B6" s="18"/>
      <c r="C6" s="6"/>
      <c r="D6" s="6" t="s">
        <v>6</v>
      </c>
      <c r="E6" s="34">
        <f>E5+E4</f>
        <v>22142340</v>
      </c>
      <c r="F6" s="3"/>
      <c r="G6" s="3"/>
      <c r="H6" s="19"/>
    </row>
    <row r="7" spans="1:8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8">
      <c r="A8" s="121"/>
      <c r="B8" s="122"/>
      <c r="C8" s="124"/>
      <c r="D8" s="126"/>
      <c r="E8" s="128"/>
      <c r="F8" s="128"/>
      <c r="G8" s="119"/>
      <c r="H8" s="120"/>
    </row>
    <row r="9" spans="1:8">
      <c r="A9" s="113" t="s">
        <v>15</v>
      </c>
      <c r="B9" s="113"/>
      <c r="C9" s="113"/>
      <c r="D9" s="113"/>
      <c r="E9" s="113"/>
      <c r="F9" s="113"/>
      <c r="G9" s="113"/>
      <c r="H9" s="113"/>
    </row>
    <row r="10" spans="1:8" ht="30">
      <c r="A10" s="39" t="s">
        <v>16</v>
      </c>
      <c r="B10" s="32">
        <v>860</v>
      </c>
      <c r="C10" s="21" t="s">
        <v>17</v>
      </c>
      <c r="D10" s="35" t="s">
        <v>74</v>
      </c>
      <c r="E10" s="31">
        <f>B10*211/100000</f>
        <v>1.8146</v>
      </c>
      <c r="F10" s="32"/>
      <c r="G10" s="9"/>
      <c r="H10" s="98" t="s">
        <v>143</v>
      </c>
    </row>
    <row r="11" spans="1:8" ht="15.75">
      <c r="A11" s="47" t="s">
        <v>19</v>
      </c>
      <c r="B11" s="32">
        <v>400</v>
      </c>
      <c r="C11" s="23" t="s">
        <v>21</v>
      </c>
      <c r="D11" s="35" t="s">
        <v>74</v>
      </c>
      <c r="E11" s="31">
        <f>((B11*211)+500000)/100000</f>
        <v>5.8440000000000003</v>
      </c>
      <c r="F11" s="32"/>
      <c r="G11" s="9"/>
      <c r="H11" s="92" t="s">
        <v>144</v>
      </c>
    </row>
    <row r="12" spans="1:8" ht="30">
      <c r="A12" s="39" t="s">
        <v>24</v>
      </c>
      <c r="B12" s="32">
        <v>200</v>
      </c>
      <c r="C12" s="22" t="s">
        <v>25</v>
      </c>
      <c r="D12" s="35" t="s">
        <v>74</v>
      </c>
      <c r="E12" s="31">
        <f>((B12*211)+250000)/100000</f>
        <v>2.9220000000000002</v>
      </c>
      <c r="F12" s="32"/>
      <c r="G12" s="9"/>
      <c r="H12" s="87" t="s">
        <v>145</v>
      </c>
    </row>
    <row r="13" spans="1:8" ht="15.75">
      <c r="A13" s="41" t="s">
        <v>26</v>
      </c>
      <c r="B13" s="32">
        <v>17240</v>
      </c>
      <c r="C13" s="25" t="s">
        <v>27</v>
      </c>
      <c r="D13" s="35" t="s">
        <v>74</v>
      </c>
      <c r="E13" s="31">
        <f t="shared" ref="E13" si="0">B13*211/100000</f>
        <v>36.376399999999997</v>
      </c>
      <c r="F13" s="32"/>
      <c r="G13" s="9"/>
      <c r="H13" s="87" t="s">
        <v>146</v>
      </c>
    </row>
    <row r="14" spans="1:8">
      <c r="A14" s="112" t="s">
        <v>28</v>
      </c>
      <c r="B14" s="112"/>
      <c r="C14" s="112"/>
      <c r="D14" s="112"/>
      <c r="E14" s="112"/>
      <c r="F14" s="112"/>
      <c r="G14" s="112"/>
      <c r="H14" s="112"/>
    </row>
    <row r="15" spans="1:8" ht="15.75">
      <c r="A15" s="116" t="s">
        <v>29</v>
      </c>
      <c r="B15" s="30">
        <v>1000</v>
      </c>
      <c r="C15" s="22" t="s">
        <v>18</v>
      </c>
      <c r="D15" s="35" t="s">
        <v>74</v>
      </c>
      <c r="E15" s="31">
        <f t="shared" ref="E15:E20" si="1">B15*211/100000</f>
        <v>2.11</v>
      </c>
      <c r="F15" s="30"/>
      <c r="G15" s="30"/>
      <c r="H15" s="98" t="s">
        <v>147</v>
      </c>
    </row>
    <row r="16" spans="1:8" ht="15.75">
      <c r="A16" s="117"/>
      <c r="B16" s="30">
        <v>8600</v>
      </c>
      <c r="C16" s="48" t="s">
        <v>26</v>
      </c>
      <c r="D16" s="35" t="s">
        <v>74</v>
      </c>
      <c r="E16" s="31">
        <f t="shared" si="1"/>
        <v>18.146000000000001</v>
      </c>
      <c r="F16" s="30"/>
      <c r="G16" s="30"/>
      <c r="H16" s="93" t="s">
        <v>148</v>
      </c>
    </row>
    <row r="17" spans="1:11" ht="30">
      <c r="A17" s="42" t="s">
        <v>32</v>
      </c>
      <c r="B17" s="30">
        <v>5000</v>
      </c>
      <c r="C17" s="22" t="s">
        <v>33</v>
      </c>
      <c r="D17" s="35" t="s">
        <v>74</v>
      </c>
      <c r="E17" s="31">
        <f t="shared" si="1"/>
        <v>10.55</v>
      </c>
      <c r="F17" s="30"/>
      <c r="G17" s="30"/>
      <c r="H17" s="87" t="s">
        <v>149</v>
      </c>
    </row>
    <row r="18" spans="1:11" ht="15.75">
      <c r="A18" s="116" t="s">
        <v>34</v>
      </c>
      <c r="B18" s="30">
        <v>200</v>
      </c>
      <c r="C18" s="22" t="s">
        <v>35</v>
      </c>
      <c r="D18" s="35" t="s">
        <v>74</v>
      </c>
      <c r="E18" s="31">
        <f>((B18*211)+450000)/100000</f>
        <v>4.9219999999999997</v>
      </c>
      <c r="F18" s="30"/>
      <c r="G18" s="30"/>
      <c r="H18" s="98" t="s">
        <v>150</v>
      </c>
    </row>
    <row r="19" spans="1:11" ht="15.75">
      <c r="A19" s="117"/>
      <c r="B19" s="32">
        <v>100</v>
      </c>
      <c r="C19" s="22" t="s">
        <v>36</v>
      </c>
      <c r="D19" s="35" t="s">
        <v>74</v>
      </c>
      <c r="E19" s="31">
        <f>((B19*211)+180000)/100000</f>
        <v>2.0110000000000001</v>
      </c>
      <c r="F19" s="32"/>
      <c r="G19" s="9"/>
      <c r="H19" s="98" t="s">
        <v>151</v>
      </c>
    </row>
    <row r="20" spans="1:11" ht="30">
      <c r="A20" s="44" t="s">
        <v>37</v>
      </c>
      <c r="B20" s="32">
        <v>18600</v>
      </c>
      <c r="C20" s="22" t="s">
        <v>38</v>
      </c>
      <c r="D20" s="35" t="s">
        <v>74</v>
      </c>
      <c r="E20" s="31">
        <f t="shared" si="1"/>
        <v>39.246000000000002</v>
      </c>
      <c r="F20" s="32"/>
      <c r="G20" s="9"/>
      <c r="H20" s="98" t="s">
        <v>152</v>
      </c>
    </row>
    <row r="21" spans="1:11">
      <c r="A21" s="109" t="s">
        <v>39</v>
      </c>
      <c r="B21" s="109"/>
      <c r="C21" s="109"/>
      <c r="D21" s="109"/>
      <c r="E21" s="109"/>
      <c r="F21" s="109"/>
      <c r="G21" s="109"/>
      <c r="H21" s="109"/>
    </row>
    <row r="22" spans="1:11" ht="15.75">
      <c r="A22" s="36" t="s">
        <v>40</v>
      </c>
      <c r="B22" s="33">
        <v>200</v>
      </c>
      <c r="C22" s="22" t="s">
        <v>41</v>
      </c>
      <c r="D22" s="35" t="s">
        <v>74</v>
      </c>
      <c r="E22" s="31">
        <f>((B22*211)+628000)/100000</f>
        <v>6.702</v>
      </c>
      <c r="F22" s="29"/>
      <c r="G22" s="29"/>
      <c r="H22" s="87" t="s">
        <v>153</v>
      </c>
    </row>
    <row r="23" spans="1:11" ht="30">
      <c r="A23" s="116" t="s">
        <v>42</v>
      </c>
      <c r="B23" s="33">
        <v>1000</v>
      </c>
      <c r="C23" s="49" t="s">
        <v>98</v>
      </c>
      <c r="D23" s="35" t="s">
        <v>74</v>
      </c>
      <c r="E23" s="31">
        <f>((B23*211)+1690000)/100000</f>
        <v>19.010000000000002</v>
      </c>
      <c r="F23" s="29"/>
      <c r="G23" s="29"/>
      <c r="H23" s="87" t="s">
        <v>154</v>
      </c>
    </row>
    <row r="24" spans="1:11" ht="15.75">
      <c r="A24" s="118"/>
      <c r="B24" s="33">
        <v>500</v>
      </c>
      <c r="C24" s="49" t="s">
        <v>135</v>
      </c>
      <c r="D24" s="35" t="s">
        <v>74</v>
      </c>
      <c r="E24" s="31">
        <f>((B24*211)+800000)/100000</f>
        <v>9.0549999999999997</v>
      </c>
      <c r="F24" s="29"/>
      <c r="G24" s="29"/>
      <c r="H24" s="98" t="s">
        <v>155</v>
      </c>
    </row>
    <row r="25" spans="1:11" ht="14.45" customHeight="1">
      <c r="A25" s="42" t="s">
        <v>42</v>
      </c>
      <c r="B25" s="33">
        <v>4500</v>
      </c>
      <c r="C25" s="22" t="s">
        <v>47</v>
      </c>
      <c r="D25" s="35" t="s">
        <v>74</v>
      </c>
      <c r="E25" s="31">
        <f t="shared" ref="E25:E26" si="2">B25*211/100000</f>
        <v>9.4949999999999992</v>
      </c>
      <c r="F25" s="29"/>
      <c r="G25" s="29"/>
      <c r="H25" s="92" t="s">
        <v>156</v>
      </c>
    </row>
    <row r="26" spans="1:11" ht="30">
      <c r="A26" s="44" t="s">
        <v>49</v>
      </c>
      <c r="B26" s="33">
        <v>200</v>
      </c>
      <c r="C26" s="16" t="s">
        <v>50</v>
      </c>
      <c r="D26" s="35" t="s">
        <v>74</v>
      </c>
      <c r="E26" s="31">
        <f t="shared" si="2"/>
        <v>0.42199999999999999</v>
      </c>
      <c r="F26" s="29"/>
      <c r="G26" s="29"/>
      <c r="H26" s="92" t="s">
        <v>157</v>
      </c>
    </row>
    <row r="27" spans="1:11" ht="30">
      <c r="A27" s="110" t="s">
        <v>51</v>
      </c>
      <c r="B27" s="33">
        <v>200</v>
      </c>
      <c r="C27" s="21" t="s">
        <v>52</v>
      </c>
      <c r="D27" s="35" t="s">
        <v>74</v>
      </c>
      <c r="E27" s="31">
        <f>((B27*211)+1600000)/100000</f>
        <v>16.422000000000001</v>
      </c>
      <c r="F27" s="29"/>
      <c r="G27" s="29"/>
      <c r="H27" s="98" t="s">
        <v>158</v>
      </c>
      <c r="K27" s="37"/>
    </row>
    <row r="28" spans="1:11" ht="15.75">
      <c r="A28" s="110"/>
      <c r="B28" s="33">
        <v>200</v>
      </c>
      <c r="C28" s="21" t="s">
        <v>53</v>
      </c>
      <c r="D28" s="35" t="s">
        <v>74</v>
      </c>
      <c r="E28" s="31">
        <f>((B28*211)+1500000)/100000</f>
        <v>15.422000000000001</v>
      </c>
      <c r="F28" s="29"/>
      <c r="G28" s="29"/>
      <c r="H28" s="98" t="s">
        <v>159</v>
      </c>
    </row>
    <row r="29" spans="1:11" ht="15.75">
      <c r="A29" s="111"/>
      <c r="B29" s="33">
        <v>200</v>
      </c>
      <c r="C29" s="21" t="s">
        <v>54</v>
      </c>
      <c r="D29" s="35" t="s">
        <v>74</v>
      </c>
      <c r="E29" s="31">
        <f>((B29*211)+800000)/100000</f>
        <v>8.4220000000000006</v>
      </c>
      <c r="F29" s="29"/>
      <c r="G29" s="29"/>
      <c r="H29" s="93" t="s">
        <v>160</v>
      </c>
    </row>
    <row r="30" spans="1:11" ht="18">
      <c r="A30" s="1"/>
      <c r="B30" s="10">
        <f>B29+B28+B27+B26+B25+B24+B23+B22+B20+B19+B18+B17+B16+B15+B13+B12+B12+B11+B10</f>
        <v>59400</v>
      </c>
      <c r="C30" s="1"/>
      <c r="D30" s="1"/>
      <c r="E30" s="26">
        <f>E29+E28+E27+E26+E25+E24+E23+E22+E20+E19+E18+E17+E16+E15+E13+E12+E11+E10</f>
        <v>208.892</v>
      </c>
      <c r="F30" s="27"/>
      <c r="G30" s="1"/>
      <c r="H30" s="1"/>
    </row>
    <row r="31" spans="1:11" ht="18">
      <c r="A31" s="1"/>
      <c r="B31" s="11">
        <f>B3*100</f>
        <v>59400</v>
      </c>
      <c r="C31" s="1"/>
      <c r="D31" s="1"/>
      <c r="E31" s="12">
        <f>(E2+E3)/100000</f>
        <v>208.89</v>
      </c>
      <c r="F31" s="27"/>
      <c r="G31" s="1"/>
      <c r="H31" s="1"/>
    </row>
    <row r="32" spans="1:11" ht="18">
      <c r="A32" s="13" t="s">
        <v>57</v>
      </c>
      <c r="B32" s="1"/>
      <c r="C32" s="14">
        <f>B31*211/100000</f>
        <v>125.334</v>
      </c>
      <c r="D32" s="15" t="s">
        <v>58</v>
      </c>
      <c r="E32" s="1"/>
      <c r="F32" s="27"/>
      <c r="G32" s="1"/>
      <c r="H32" s="1"/>
    </row>
    <row r="33" spans="1:8" ht="18">
      <c r="A33" s="13" t="s">
        <v>59</v>
      </c>
      <c r="B33" s="1"/>
      <c r="C33" s="14">
        <f>C32*2/3</f>
        <v>83.555999999999997</v>
      </c>
      <c r="D33" s="15" t="s">
        <v>58</v>
      </c>
      <c r="E33" s="1"/>
      <c r="F33" s="27"/>
      <c r="G33" s="1"/>
      <c r="H33" s="1"/>
    </row>
    <row r="34" spans="1:8" ht="18">
      <c r="A34" s="15" t="s">
        <v>60</v>
      </c>
      <c r="B34" s="1"/>
      <c r="C34" s="1"/>
      <c r="D34" s="1"/>
      <c r="E34" s="1"/>
      <c r="F34" s="27"/>
      <c r="G34" s="1"/>
      <c r="H34" s="1"/>
    </row>
  </sheetData>
  <mergeCells count="15">
    <mergeCell ref="A21:H21"/>
    <mergeCell ref="A23:A24"/>
    <mergeCell ref="A27:A29"/>
    <mergeCell ref="G7:G8"/>
    <mergeCell ref="H7:H8"/>
    <mergeCell ref="A9:H9"/>
    <mergeCell ref="A18:A19"/>
    <mergeCell ref="A7:A8"/>
    <mergeCell ref="B7:B8"/>
    <mergeCell ref="C7:C8"/>
    <mergeCell ref="D7:D8"/>
    <mergeCell ref="E7:E8"/>
    <mergeCell ref="F7:F8"/>
    <mergeCell ref="A14:H14"/>
    <mergeCell ref="A15:A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L38"/>
  <sheetViews>
    <sheetView workbookViewId="0">
      <selection sqref="A1:H38"/>
    </sheetView>
  </sheetViews>
  <sheetFormatPr defaultRowHeight="15"/>
  <cols>
    <col min="1" max="1" width="18.5703125" customWidth="1"/>
    <col min="3" max="3" width="23.140625" customWidth="1"/>
    <col min="4" max="4" width="24.140625" customWidth="1"/>
    <col min="5" max="5" width="14.7109375" customWidth="1"/>
    <col min="8" max="8" width="23.7109375" bestFit="1" customWidth="1"/>
  </cols>
  <sheetData>
    <row r="1" spans="1:8" ht="13.9" customHeight="1">
      <c r="A1" s="2" t="s">
        <v>68</v>
      </c>
      <c r="B1" s="3"/>
      <c r="C1" s="4"/>
      <c r="D1" s="4" t="s">
        <v>0</v>
      </c>
      <c r="E1" s="4"/>
      <c r="F1" s="3"/>
      <c r="G1" s="3"/>
      <c r="H1" s="19"/>
    </row>
    <row r="2" spans="1:8" ht="13.9" customHeight="1">
      <c r="A2" s="5"/>
      <c r="B2" s="3"/>
      <c r="C2" s="6"/>
      <c r="D2" s="6" t="s">
        <v>1</v>
      </c>
      <c r="E2" s="7">
        <f>B3*211*100</f>
        <v>9410600</v>
      </c>
      <c r="F2" s="3"/>
      <c r="G2" s="3"/>
      <c r="H2" s="19"/>
    </row>
    <row r="3" spans="1:8" ht="13.9" customHeight="1">
      <c r="A3" s="2" t="s">
        <v>2</v>
      </c>
      <c r="B3" s="3">
        <v>446</v>
      </c>
      <c r="C3" s="6"/>
      <c r="D3" s="6" t="s">
        <v>3</v>
      </c>
      <c r="E3" s="8">
        <f>E2*2/3</f>
        <v>6273733.333333333</v>
      </c>
      <c r="F3" s="3"/>
      <c r="G3" s="3"/>
      <c r="H3" s="19"/>
    </row>
    <row r="4" spans="1:8" ht="13.9" customHeight="1">
      <c r="A4" s="17"/>
      <c r="B4" s="18"/>
      <c r="C4" s="6"/>
      <c r="D4" s="6" t="s">
        <v>4</v>
      </c>
      <c r="E4" s="8">
        <f>SUM(E2:E3)</f>
        <v>15684333.333333332</v>
      </c>
      <c r="F4" s="3"/>
      <c r="G4" s="3"/>
      <c r="H4" s="19"/>
    </row>
    <row r="5" spans="1:8" ht="13.9" customHeight="1">
      <c r="A5" s="17"/>
      <c r="B5" s="18"/>
      <c r="C5" s="6"/>
      <c r="D5" s="6" t="s">
        <v>5</v>
      </c>
      <c r="E5" s="7">
        <f>E4*0.06</f>
        <v>941059.99999999988</v>
      </c>
      <c r="F5" s="3"/>
      <c r="G5" s="3"/>
      <c r="H5" s="19"/>
    </row>
    <row r="6" spans="1:8" ht="13.9" customHeight="1">
      <c r="A6" s="17"/>
      <c r="B6" s="18"/>
      <c r="C6" s="6"/>
      <c r="D6" s="6" t="s">
        <v>6</v>
      </c>
      <c r="E6" s="34">
        <f>E5+E4</f>
        <v>16625393.333333332</v>
      </c>
      <c r="F6" s="3"/>
      <c r="G6" s="3"/>
      <c r="H6" s="19"/>
    </row>
    <row r="7" spans="1:8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8">
      <c r="A8" s="121"/>
      <c r="B8" s="122"/>
      <c r="C8" s="124"/>
      <c r="D8" s="126"/>
      <c r="E8" s="128"/>
      <c r="F8" s="128"/>
      <c r="G8" s="119"/>
      <c r="H8" s="120"/>
    </row>
    <row r="9" spans="1:8">
      <c r="A9" s="113" t="s">
        <v>15</v>
      </c>
      <c r="B9" s="113"/>
      <c r="C9" s="113"/>
      <c r="D9" s="113"/>
      <c r="E9" s="113"/>
      <c r="F9" s="113"/>
      <c r="G9" s="113"/>
      <c r="H9" s="113"/>
    </row>
    <row r="10" spans="1:8" ht="45">
      <c r="A10" s="39" t="s">
        <v>16</v>
      </c>
      <c r="B10" s="32">
        <v>6000</v>
      </c>
      <c r="C10" s="21" t="s">
        <v>17</v>
      </c>
      <c r="D10" s="35" t="s">
        <v>71</v>
      </c>
      <c r="E10" s="31">
        <f>B10*211/100000</f>
        <v>12.66</v>
      </c>
      <c r="F10" s="32"/>
      <c r="G10" s="9"/>
      <c r="H10" s="98" t="s">
        <v>161</v>
      </c>
    </row>
    <row r="11" spans="1:8" ht="15.75">
      <c r="A11" s="114" t="s">
        <v>19</v>
      </c>
      <c r="B11" s="32">
        <v>200</v>
      </c>
      <c r="C11" s="22" t="s">
        <v>20</v>
      </c>
      <c r="D11" s="35" t="s">
        <v>71</v>
      </c>
      <c r="E11" s="31">
        <f>((B11*211)+300000)/100000</f>
        <v>3.4220000000000002</v>
      </c>
      <c r="F11" s="32"/>
      <c r="G11" s="9"/>
      <c r="H11" s="87" t="s">
        <v>162</v>
      </c>
    </row>
    <row r="12" spans="1:8" ht="15.75">
      <c r="A12" s="115"/>
      <c r="B12" s="32">
        <v>200</v>
      </c>
      <c r="C12" s="23" t="s">
        <v>21</v>
      </c>
      <c r="D12" s="35" t="s">
        <v>71</v>
      </c>
      <c r="E12" s="31">
        <f>((B12*211)+400000)/100000</f>
        <v>4.4219999999999997</v>
      </c>
      <c r="F12" s="32"/>
      <c r="G12" s="9"/>
      <c r="H12" s="98" t="s">
        <v>163</v>
      </c>
    </row>
    <row r="13" spans="1:8" ht="15.75">
      <c r="A13" s="40" t="s">
        <v>22</v>
      </c>
      <c r="B13" s="32">
        <v>200</v>
      </c>
      <c r="C13" s="23" t="s">
        <v>23</v>
      </c>
      <c r="D13" s="35" t="s">
        <v>71</v>
      </c>
      <c r="E13" s="31">
        <f>((B13*211)+100000)/100000</f>
        <v>1.4219999999999999</v>
      </c>
      <c r="F13" s="32"/>
      <c r="G13" s="9"/>
      <c r="H13" s="87" t="s">
        <v>164</v>
      </c>
    </row>
    <row r="14" spans="1:8" ht="30">
      <c r="A14" s="39" t="s">
        <v>24</v>
      </c>
      <c r="B14" s="32">
        <v>200</v>
      </c>
      <c r="C14" s="22" t="s">
        <v>25</v>
      </c>
      <c r="D14" s="35" t="s">
        <v>71</v>
      </c>
      <c r="E14" s="31">
        <f>((B14*211)+250000)/100000</f>
        <v>2.9220000000000002</v>
      </c>
      <c r="F14" s="32"/>
      <c r="G14" s="9"/>
      <c r="H14" s="87" t="s">
        <v>165</v>
      </c>
    </row>
    <row r="15" spans="1:8" ht="15.75">
      <c r="A15" s="41" t="s">
        <v>26</v>
      </c>
      <c r="B15" s="32">
        <v>12000</v>
      </c>
      <c r="C15" s="25" t="s">
        <v>27</v>
      </c>
      <c r="D15" s="35" t="s">
        <v>71</v>
      </c>
      <c r="E15" s="31">
        <f t="shared" ref="E15" si="0">B15*211/100000</f>
        <v>25.32</v>
      </c>
      <c r="F15" s="32"/>
      <c r="G15" s="9"/>
      <c r="H15" s="98" t="s">
        <v>166</v>
      </c>
    </row>
    <row r="16" spans="1:8">
      <c r="A16" s="112" t="s">
        <v>28</v>
      </c>
      <c r="B16" s="112"/>
      <c r="C16" s="112"/>
      <c r="D16" s="112"/>
      <c r="E16" s="112"/>
      <c r="F16" s="112"/>
      <c r="G16" s="112"/>
      <c r="H16" s="112"/>
    </row>
    <row r="17" spans="1:8" ht="15.75">
      <c r="A17" s="116" t="s">
        <v>29</v>
      </c>
      <c r="B17" s="30">
        <v>1000</v>
      </c>
      <c r="C17" s="22" t="s">
        <v>18</v>
      </c>
      <c r="D17" s="35" t="s">
        <v>71</v>
      </c>
      <c r="E17" s="31">
        <f t="shared" ref="E17:E22" si="1">B17*211/100000</f>
        <v>2.11</v>
      </c>
      <c r="F17" s="30"/>
      <c r="G17" s="30"/>
      <c r="H17" s="87" t="s">
        <v>167</v>
      </c>
    </row>
    <row r="18" spans="1:8" ht="15.75">
      <c r="A18" s="117"/>
      <c r="B18" s="30">
        <v>8900</v>
      </c>
      <c r="C18" s="23" t="s">
        <v>26</v>
      </c>
      <c r="D18" s="35" t="s">
        <v>71</v>
      </c>
      <c r="E18" s="31">
        <f t="shared" si="1"/>
        <v>18.779</v>
      </c>
      <c r="F18" s="30"/>
      <c r="G18" s="30"/>
      <c r="H18" s="98" t="s">
        <v>168</v>
      </c>
    </row>
    <row r="19" spans="1:8" ht="30">
      <c r="A19" s="42" t="s">
        <v>30</v>
      </c>
      <c r="B19" s="30">
        <v>100</v>
      </c>
      <c r="C19" s="22" t="s">
        <v>31</v>
      </c>
      <c r="D19" s="35" t="s">
        <v>71</v>
      </c>
      <c r="E19" s="31">
        <f>((B19*211)+100000)/100000</f>
        <v>1.2110000000000001</v>
      </c>
      <c r="F19" s="30"/>
      <c r="G19" s="30"/>
      <c r="H19" s="98" t="s">
        <v>169</v>
      </c>
    </row>
    <row r="20" spans="1:8" ht="15.75">
      <c r="A20" s="116" t="s">
        <v>34</v>
      </c>
      <c r="B20" s="30">
        <v>200</v>
      </c>
      <c r="C20" s="22" t="s">
        <v>35</v>
      </c>
      <c r="D20" s="35" t="s">
        <v>71</v>
      </c>
      <c r="E20" s="31">
        <f>((B20*211)+450000)/100000</f>
        <v>4.9219999999999997</v>
      </c>
      <c r="F20" s="30"/>
      <c r="G20" s="30"/>
      <c r="H20" s="98" t="s">
        <v>170</v>
      </c>
    </row>
    <row r="21" spans="1:8" ht="15.75">
      <c r="A21" s="117"/>
      <c r="B21" s="32">
        <v>100</v>
      </c>
      <c r="C21" s="22" t="s">
        <v>36</v>
      </c>
      <c r="D21" s="35" t="s">
        <v>71</v>
      </c>
      <c r="E21" s="31">
        <f>((B21*211)+180000)/100000</f>
        <v>2.0110000000000001</v>
      </c>
      <c r="F21" s="32"/>
      <c r="G21" s="9"/>
      <c r="H21" s="98" t="s">
        <v>171</v>
      </c>
    </row>
    <row r="22" spans="1:8" ht="30">
      <c r="A22" s="44" t="s">
        <v>37</v>
      </c>
      <c r="B22" s="32">
        <v>10000</v>
      </c>
      <c r="C22" s="22" t="s">
        <v>38</v>
      </c>
      <c r="D22" s="35" t="s">
        <v>71</v>
      </c>
      <c r="E22" s="31">
        <f t="shared" si="1"/>
        <v>21.1</v>
      </c>
      <c r="F22" s="32"/>
      <c r="G22" s="9"/>
      <c r="H22" s="98" t="s">
        <v>172</v>
      </c>
    </row>
    <row r="23" spans="1:8">
      <c r="A23" s="109" t="s">
        <v>39</v>
      </c>
      <c r="B23" s="109"/>
      <c r="C23" s="109"/>
      <c r="D23" s="109"/>
      <c r="E23" s="109"/>
      <c r="F23" s="109"/>
      <c r="G23" s="109"/>
      <c r="H23" s="109"/>
    </row>
    <row r="24" spans="1:8" ht="15.75">
      <c r="A24" s="129" t="s">
        <v>40</v>
      </c>
      <c r="B24" s="33">
        <v>200</v>
      </c>
      <c r="C24" s="45" t="s">
        <v>70</v>
      </c>
      <c r="D24" s="35" t="s">
        <v>71</v>
      </c>
      <c r="E24" s="31">
        <f>(B24*211)/100000</f>
        <v>0.42199999999999999</v>
      </c>
      <c r="F24" s="33"/>
      <c r="G24" s="33"/>
      <c r="H24" s="101" t="s">
        <v>173</v>
      </c>
    </row>
    <row r="25" spans="1:8" ht="15.75">
      <c r="A25" s="130"/>
      <c r="B25" s="33">
        <v>200</v>
      </c>
      <c r="C25" s="49" t="s">
        <v>69</v>
      </c>
      <c r="D25" s="35" t="s">
        <v>71</v>
      </c>
      <c r="E25" s="31">
        <f>(B25*211)/100000</f>
        <v>0.42199999999999999</v>
      </c>
      <c r="F25" s="29"/>
      <c r="G25" s="29"/>
      <c r="H25" s="100" t="s">
        <v>174</v>
      </c>
    </row>
    <row r="26" spans="1:8" ht="30">
      <c r="A26" s="116" t="s">
        <v>42</v>
      </c>
      <c r="B26" s="33">
        <v>1000</v>
      </c>
      <c r="C26" s="49" t="s">
        <v>98</v>
      </c>
      <c r="D26" s="35" t="s">
        <v>71</v>
      </c>
      <c r="E26" s="31">
        <f>((B26*211)+1000000)/100000</f>
        <v>12.11</v>
      </c>
      <c r="F26" s="29"/>
      <c r="G26" s="29"/>
      <c r="H26" s="99" t="s">
        <v>175</v>
      </c>
    </row>
    <row r="27" spans="1:8" ht="15.75">
      <c r="A27" s="118"/>
      <c r="B27" s="33">
        <v>300</v>
      </c>
      <c r="C27" s="22" t="s">
        <v>44</v>
      </c>
      <c r="D27" s="35" t="s">
        <v>71</v>
      </c>
      <c r="E27" s="31">
        <f>((B27*211)+300000)/100000</f>
        <v>3.633</v>
      </c>
      <c r="F27" s="29"/>
      <c r="G27" s="29"/>
      <c r="H27" s="100" t="s">
        <v>176</v>
      </c>
    </row>
    <row r="28" spans="1:8" ht="15.75">
      <c r="A28" s="118"/>
      <c r="B28" s="33">
        <v>500</v>
      </c>
      <c r="C28" s="49" t="s">
        <v>135</v>
      </c>
      <c r="D28" s="35" t="s">
        <v>71</v>
      </c>
      <c r="E28" s="31">
        <f>((B28*211)+600000)/100000</f>
        <v>7.0549999999999997</v>
      </c>
      <c r="F28" s="29"/>
      <c r="G28" s="29"/>
      <c r="H28" s="100" t="s">
        <v>177</v>
      </c>
    </row>
    <row r="29" spans="1:8" ht="15.75">
      <c r="A29" s="116" t="s">
        <v>42</v>
      </c>
      <c r="B29" s="33">
        <v>2500</v>
      </c>
      <c r="C29" s="22" t="s">
        <v>47</v>
      </c>
      <c r="D29" s="35" t="s">
        <v>71</v>
      </c>
      <c r="E29" s="31">
        <f t="shared" ref="E29:E31" si="2">B29*211/100000</f>
        <v>5.2750000000000004</v>
      </c>
      <c r="F29" s="29"/>
      <c r="G29" s="29"/>
      <c r="H29" s="99" t="s">
        <v>178</v>
      </c>
    </row>
    <row r="30" spans="1:8" ht="15.75">
      <c r="A30" s="117"/>
      <c r="B30" s="33">
        <v>200</v>
      </c>
      <c r="C30" s="22" t="s">
        <v>48</v>
      </c>
      <c r="D30" s="35" t="s">
        <v>71</v>
      </c>
      <c r="E30" s="31">
        <f>((B30*211)+200000)/100000</f>
        <v>2.4220000000000002</v>
      </c>
      <c r="F30" s="29"/>
      <c r="G30" s="29"/>
      <c r="H30" s="100" t="s">
        <v>179</v>
      </c>
    </row>
    <row r="31" spans="1:8" ht="30">
      <c r="A31" s="44" t="s">
        <v>49</v>
      </c>
      <c r="B31" s="33">
        <v>200</v>
      </c>
      <c r="C31" s="16" t="s">
        <v>50</v>
      </c>
      <c r="D31" s="35" t="s">
        <v>71</v>
      </c>
      <c r="E31" s="31">
        <f t="shared" si="2"/>
        <v>0.42199999999999999</v>
      </c>
      <c r="F31" s="29"/>
      <c r="G31" s="29"/>
      <c r="H31" s="101" t="s">
        <v>180</v>
      </c>
    </row>
    <row r="32" spans="1:8" ht="30">
      <c r="A32" s="110" t="s">
        <v>51</v>
      </c>
      <c r="B32" s="33">
        <v>200</v>
      </c>
      <c r="C32" s="21" t="s">
        <v>52</v>
      </c>
      <c r="D32" s="35" t="s">
        <v>71</v>
      </c>
      <c r="E32" s="31">
        <f>((B32*211)+893000.67)/100000</f>
        <v>9.3520067000000004</v>
      </c>
      <c r="F32" s="29"/>
      <c r="G32" s="29"/>
      <c r="H32" s="100" t="s">
        <v>181</v>
      </c>
    </row>
    <row r="33" spans="1:12" ht="15.75">
      <c r="A33" s="110"/>
      <c r="B33" s="33">
        <v>200</v>
      </c>
      <c r="C33" s="21" t="s">
        <v>53</v>
      </c>
      <c r="D33" s="35" t="s">
        <v>71</v>
      </c>
      <c r="E33" s="31">
        <f>((B33*211)+1500000)/100000</f>
        <v>15.422000000000001</v>
      </c>
      <c r="F33" s="29"/>
      <c r="G33" s="29"/>
      <c r="H33" s="100" t="s">
        <v>182</v>
      </c>
      <c r="L33" s="37"/>
    </row>
    <row r="34" spans="1:12" ht="18">
      <c r="A34" s="1"/>
      <c r="B34" s="10">
        <f>B33+B32+B31+B30+B29+C40+B28+B27+B26+B25+B22+B21+B20+B19+B18+B17+B15+B14+B13+B12+B11+B10+B24</f>
        <v>44600</v>
      </c>
      <c r="C34" s="1"/>
      <c r="D34" s="1"/>
      <c r="E34" s="26">
        <f>+E33+E32+E31+E30+E29+E28+E27+E26+E25+E22+E21+E20+E19+E18+E17+E15+E14+E13+E12+E11+E10+E24</f>
        <v>156.83600669999996</v>
      </c>
      <c r="F34" s="27"/>
      <c r="G34" s="1"/>
      <c r="H34" s="1"/>
    </row>
    <row r="35" spans="1:12" ht="18">
      <c r="A35" s="1"/>
      <c r="B35" s="11">
        <f>B3*100</f>
        <v>44600</v>
      </c>
      <c r="C35" s="1"/>
      <c r="D35" s="1"/>
      <c r="E35" s="12">
        <f>(E2+E3)/100000</f>
        <v>156.84333333333333</v>
      </c>
      <c r="F35" s="27"/>
      <c r="G35" s="1"/>
      <c r="H35" s="1"/>
    </row>
    <row r="36" spans="1:12" ht="18">
      <c r="A36" s="13" t="s">
        <v>57</v>
      </c>
      <c r="B36" s="1"/>
      <c r="C36" s="14">
        <f>B35*211/100000</f>
        <v>94.105999999999995</v>
      </c>
      <c r="D36" s="15" t="s">
        <v>58</v>
      </c>
      <c r="E36" s="1"/>
      <c r="F36" s="27"/>
      <c r="G36" s="1"/>
      <c r="H36" s="1"/>
    </row>
    <row r="37" spans="1:12" ht="18">
      <c r="A37" s="13" t="s">
        <v>59</v>
      </c>
      <c r="B37" s="1"/>
      <c r="C37" s="14">
        <f>C36*2/3</f>
        <v>62.737333333333332</v>
      </c>
      <c r="D37" s="15" t="s">
        <v>58</v>
      </c>
      <c r="E37" s="1"/>
      <c r="F37" s="27"/>
      <c r="G37" s="1"/>
      <c r="H37" s="1"/>
    </row>
    <row r="38" spans="1:12" ht="18">
      <c r="A38" s="15" t="s">
        <v>60</v>
      </c>
      <c r="B38" s="1"/>
      <c r="C38" s="1"/>
      <c r="D38" s="1"/>
      <c r="E38" s="1"/>
      <c r="F38" s="27"/>
      <c r="G38" s="1"/>
      <c r="H38" s="1"/>
    </row>
  </sheetData>
  <mergeCells count="18">
    <mergeCell ref="G7:G8"/>
    <mergeCell ref="H7:H8"/>
    <mergeCell ref="A9:H9"/>
    <mergeCell ref="A20:A21"/>
    <mergeCell ref="A7:A8"/>
    <mergeCell ref="B7:B8"/>
    <mergeCell ref="C7:C8"/>
    <mergeCell ref="D7:D8"/>
    <mergeCell ref="E7:E8"/>
    <mergeCell ref="F7:F8"/>
    <mergeCell ref="A11:A12"/>
    <mergeCell ref="A16:H16"/>
    <mergeCell ref="A17:A18"/>
    <mergeCell ref="A23:H23"/>
    <mergeCell ref="A26:A28"/>
    <mergeCell ref="A29:A30"/>
    <mergeCell ref="A32:A33"/>
    <mergeCell ref="A24:A2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L40"/>
  <sheetViews>
    <sheetView workbookViewId="0">
      <selection sqref="A1:H40"/>
    </sheetView>
  </sheetViews>
  <sheetFormatPr defaultRowHeight="15"/>
  <cols>
    <col min="1" max="1" width="19.85546875" customWidth="1"/>
    <col min="3" max="3" width="25.28515625" customWidth="1"/>
    <col min="4" max="4" width="17" customWidth="1"/>
    <col min="5" max="5" width="14.28515625" customWidth="1"/>
    <col min="8" max="8" width="24.28515625" customWidth="1"/>
  </cols>
  <sheetData>
    <row r="1" spans="1:12">
      <c r="A1" s="2" t="s">
        <v>64</v>
      </c>
      <c r="B1" s="3"/>
      <c r="C1" s="4"/>
      <c r="D1" s="4" t="s">
        <v>0</v>
      </c>
      <c r="E1" s="4"/>
      <c r="F1" s="3"/>
      <c r="G1" s="3"/>
      <c r="H1" s="19"/>
    </row>
    <row r="2" spans="1:12">
      <c r="A2" s="5"/>
      <c r="B2" s="3"/>
      <c r="C2" s="6"/>
      <c r="D2" s="6" t="s">
        <v>1</v>
      </c>
      <c r="E2" s="7">
        <f>B3*211*100</f>
        <v>13630600</v>
      </c>
      <c r="F2" s="3"/>
      <c r="G2" s="3"/>
      <c r="H2" s="19"/>
    </row>
    <row r="3" spans="1:12">
      <c r="A3" s="2" t="s">
        <v>2</v>
      </c>
      <c r="B3" s="3">
        <v>646</v>
      </c>
      <c r="C3" s="6"/>
      <c r="D3" s="6" t="s">
        <v>3</v>
      </c>
      <c r="E3" s="8">
        <f>E2*2/3</f>
        <v>9087066.666666666</v>
      </c>
      <c r="F3" s="3"/>
      <c r="G3" s="3"/>
      <c r="H3" s="19"/>
    </row>
    <row r="4" spans="1:12">
      <c r="A4" s="17"/>
      <c r="B4" s="18"/>
      <c r="C4" s="6"/>
      <c r="D4" s="6" t="s">
        <v>4</v>
      </c>
      <c r="E4" s="8">
        <f>SUM(E2:E3)</f>
        <v>22717666.666666664</v>
      </c>
      <c r="F4" s="3"/>
      <c r="G4" s="3"/>
      <c r="H4" s="19"/>
    </row>
    <row r="5" spans="1:12">
      <c r="A5" s="17"/>
      <c r="B5" s="18"/>
      <c r="C5" s="6"/>
      <c r="D5" s="6" t="s">
        <v>5</v>
      </c>
      <c r="E5" s="7">
        <f>E4*0.06</f>
        <v>1363059.9999999998</v>
      </c>
      <c r="F5" s="3"/>
      <c r="G5" s="3"/>
      <c r="H5" s="19"/>
    </row>
    <row r="6" spans="1:12">
      <c r="A6" s="17"/>
      <c r="B6" s="18"/>
      <c r="C6" s="6"/>
      <c r="D6" s="6" t="s">
        <v>6</v>
      </c>
      <c r="E6" s="34">
        <f>E5+E4</f>
        <v>24080726.666666664</v>
      </c>
      <c r="F6" s="3"/>
      <c r="G6" s="3"/>
      <c r="H6" s="19"/>
    </row>
    <row r="7" spans="1:12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12">
      <c r="A8" s="121"/>
      <c r="B8" s="122"/>
      <c r="C8" s="124"/>
      <c r="D8" s="126"/>
      <c r="E8" s="128"/>
      <c r="F8" s="128"/>
      <c r="G8" s="119"/>
      <c r="H8" s="120"/>
    </row>
    <row r="9" spans="1:12">
      <c r="A9" s="113" t="s">
        <v>15</v>
      </c>
      <c r="B9" s="113"/>
      <c r="C9" s="113"/>
      <c r="D9" s="113"/>
      <c r="E9" s="113"/>
      <c r="F9" s="113"/>
      <c r="G9" s="113"/>
      <c r="H9" s="113"/>
      <c r="L9">
        <f>B3*10</f>
        <v>6460</v>
      </c>
    </row>
    <row r="10" spans="1:12" ht="30">
      <c r="A10" s="39" t="s">
        <v>16</v>
      </c>
      <c r="B10" s="32">
        <v>8600</v>
      </c>
      <c r="C10" s="21" t="s">
        <v>17</v>
      </c>
      <c r="D10" s="35" t="s">
        <v>72</v>
      </c>
      <c r="E10" s="31">
        <f>B10*211/100000</f>
        <v>18.146000000000001</v>
      </c>
      <c r="F10" s="32"/>
      <c r="G10" s="9"/>
      <c r="H10" s="102" t="s">
        <v>183</v>
      </c>
      <c r="L10">
        <f>L9*211</f>
        <v>1363060</v>
      </c>
    </row>
    <row r="11" spans="1:12" ht="15.75">
      <c r="A11" s="114" t="s">
        <v>19</v>
      </c>
      <c r="B11" s="32">
        <v>200</v>
      </c>
      <c r="C11" s="22" t="s">
        <v>20</v>
      </c>
      <c r="D11" s="35" t="s">
        <v>72</v>
      </c>
      <c r="E11" s="31">
        <f>((B11*211)+300000)/100000</f>
        <v>3.4220000000000002</v>
      </c>
      <c r="F11" s="32"/>
      <c r="G11" s="9"/>
      <c r="H11" s="100" t="s">
        <v>184</v>
      </c>
    </row>
    <row r="12" spans="1:12" ht="15.75">
      <c r="A12" s="115"/>
      <c r="B12" s="32">
        <v>200</v>
      </c>
      <c r="C12" s="23" t="s">
        <v>21</v>
      </c>
      <c r="D12" s="35" t="s">
        <v>72</v>
      </c>
      <c r="E12" s="31">
        <f>((B12*211)+600000)/100000</f>
        <v>6.4219999999999997</v>
      </c>
      <c r="F12" s="32"/>
      <c r="G12" s="9"/>
      <c r="H12" s="99" t="s">
        <v>185</v>
      </c>
    </row>
    <row r="13" spans="1:12" ht="15.75">
      <c r="A13" s="40" t="s">
        <v>22</v>
      </c>
      <c r="B13" s="32">
        <v>200</v>
      </c>
      <c r="C13" s="23" t="s">
        <v>23</v>
      </c>
      <c r="D13" s="35" t="s">
        <v>72</v>
      </c>
      <c r="E13" s="31">
        <f>((B13*211)+100000)/100000</f>
        <v>1.4219999999999999</v>
      </c>
      <c r="F13" s="32"/>
      <c r="G13" s="9"/>
      <c r="H13" s="102" t="s">
        <v>186</v>
      </c>
    </row>
    <row r="14" spans="1:12" ht="30">
      <c r="A14" s="39" t="s">
        <v>24</v>
      </c>
      <c r="B14" s="32">
        <v>200</v>
      </c>
      <c r="C14" s="22" t="s">
        <v>25</v>
      </c>
      <c r="D14" s="35" t="s">
        <v>72</v>
      </c>
      <c r="E14" s="31">
        <f>((B14*211)+500000)/100000</f>
        <v>5.4219999999999997</v>
      </c>
      <c r="F14" s="32"/>
      <c r="G14" s="9"/>
      <c r="H14" s="100" t="s">
        <v>187</v>
      </c>
    </row>
    <row r="15" spans="1:12" ht="15.75">
      <c r="A15" s="41" t="s">
        <v>26</v>
      </c>
      <c r="B15" s="32">
        <v>10650</v>
      </c>
      <c r="C15" s="25" t="s">
        <v>27</v>
      </c>
      <c r="D15" s="35" t="s">
        <v>72</v>
      </c>
      <c r="E15" s="31">
        <f t="shared" ref="E15" si="0">B15*211/100000</f>
        <v>22.471499999999999</v>
      </c>
      <c r="F15" s="32"/>
      <c r="G15" s="9"/>
      <c r="H15" s="102" t="s">
        <v>188</v>
      </c>
    </row>
    <row r="16" spans="1:12">
      <c r="A16" s="112" t="s">
        <v>28</v>
      </c>
      <c r="B16" s="112"/>
      <c r="C16" s="112"/>
      <c r="D16" s="112"/>
      <c r="E16" s="112"/>
      <c r="F16" s="112"/>
      <c r="G16" s="112"/>
      <c r="H16" s="112"/>
    </row>
    <row r="17" spans="1:8" ht="15.75">
      <c r="A17" s="116" t="s">
        <v>29</v>
      </c>
      <c r="B17" s="30">
        <v>1000</v>
      </c>
      <c r="C17" s="22" t="s">
        <v>18</v>
      </c>
      <c r="D17" s="35" t="s">
        <v>72</v>
      </c>
      <c r="E17" s="31">
        <f t="shared" ref="E17:E23" si="1">B17*211/100000</f>
        <v>2.11</v>
      </c>
      <c r="F17" s="30"/>
      <c r="G17" s="30"/>
      <c r="H17" s="87" t="s">
        <v>189</v>
      </c>
    </row>
    <row r="18" spans="1:8" ht="15.75">
      <c r="A18" s="117"/>
      <c r="B18" s="30">
        <v>15100</v>
      </c>
      <c r="C18" s="23" t="s">
        <v>26</v>
      </c>
      <c r="D18" s="35" t="s">
        <v>72</v>
      </c>
      <c r="E18" s="31">
        <f t="shared" si="1"/>
        <v>31.861000000000001</v>
      </c>
      <c r="F18" s="30"/>
      <c r="G18" s="30"/>
      <c r="H18" s="98" t="s">
        <v>190</v>
      </c>
    </row>
    <row r="19" spans="1:8" ht="30">
      <c r="A19" s="42" t="s">
        <v>30</v>
      </c>
      <c r="B19" s="30">
        <v>100</v>
      </c>
      <c r="C19" s="22" t="s">
        <v>31</v>
      </c>
      <c r="D19" s="35" t="s">
        <v>72</v>
      </c>
      <c r="E19" s="31">
        <f>((B19*211)+100000)/100000</f>
        <v>1.2110000000000001</v>
      </c>
      <c r="F19" s="30"/>
      <c r="G19" s="30"/>
      <c r="H19" s="93" t="s">
        <v>191</v>
      </c>
    </row>
    <row r="20" spans="1:8" ht="30">
      <c r="A20" s="42" t="s">
        <v>32</v>
      </c>
      <c r="B20" s="30">
        <v>3850</v>
      </c>
      <c r="C20" s="22" t="s">
        <v>33</v>
      </c>
      <c r="D20" s="35" t="s">
        <v>72</v>
      </c>
      <c r="E20" s="31">
        <f t="shared" si="1"/>
        <v>8.1234999999999999</v>
      </c>
      <c r="F20" s="30"/>
      <c r="G20" s="30"/>
      <c r="H20" s="98" t="s">
        <v>192</v>
      </c>
    </row>
    <row r="21" spans="1:8" ht="15.75">
      <c r="A21" s="116" t="s">
        <v>34</v>
      </c>
      <c r="B21" s="30">
        <v>200</v>
      </c>
      <c r="C21" s="22" t="s">
        <v>35</v>
      </c>
      <c r="D21" s="35" t="s">
        <v>72</v>
      </c>
      <c r="E21" s="31">
        <f>((B21*211)+450000)/100000</f>
        <v>4.9219999999999997</v>
      </c>
      <c r="F21" s="30"/>
      <c r="G21" s="30"/>
      <c r="H21" s="93" t="s">
        <v>193</v>
      </c>
    </row>
    <row r="22" spans="1:8" ht="15.75">
      <c r="A22" s="117"/>
      <c r="B22" s="32">
        <v>100</v>
      </c>
      <c r="C22" s="22" t="s">
        <v>36</v>
      </c>
      <c r="D22" s="35" t="s">
        <v>72</v>
      </c>
      <c r="E22" s="31">
        <f>((B22*211)+180000)/100000</f>
        <v>2.0110000000000001</v>
      </c>
      <c r="F22" s="32"/>
      <c r="G22" s="9"/>
      <c r="H22" s="87" t="s">
        <v>194</v>
      </c>
    </row>
    <row r="23" spans="1:8" ht="30">
      <c r="A23" s="44" t="s">
        <v>37</v>
      </c>
      <c r="B23" s="32">
        <v>16500</v>
      </c>
      <c r="C23" s="22" t="s">
        <v>38</v>
      </c>
      <c r="D23" s="35" t="s">
        <v>72</v>
      </c>
      <c r="E23" s="31">
        <f t="shared" si="1"/>
        <v>34.814999999999998</v>
      </c>
      <c r="F23" s="32"/>
      <c r="G23" s="9"/>
      <c r="H23" s="93" t="s">
        <v>195</v>
      </c>
    </row>
    <row r="24" spans="1:8">
      <c r="A24" s="109" t="s">
        <v>39</v>
      </c>
      <c r="B24" s="109"/>
      <c r="C24" s="109"/>
      <c r="D24" s="109"/>
      <c r="E24" s="109"/>
      <c r="F24" s="109"/>
      <c r="G24" s="109"/>
      <c r="H24" s="109"/>
    </row>
    <row r="25" spans="1:8" ht="15.75">
      <c r="A25" s="36" t="s">
        <v>40</v>
      </c>
      <c r="B25" s="29">
        <v>200</v>
      </c>
      <c r="C25" s="49" t="s">
        <v>84</v>
      </c>
      <c r="D25" s="35" t="s">
        <v>72</v>
      </c>
      <c r="E25" s="31">
        <f>((B25*211)+500000)/100000</f>
        <v>5.4219999999999997</v>
      </c>
      <c r="F25" s="29"/>
      <c r="G25" s="29"/>
      <c r="H25" s="101" t="s">
        <v>196</v>
      </c>
    </row>
    <row r="26" spans="1:8" ht="15.75">
      <c r="A26" s="116" t="s">
        <v>42</v>
      </c>
      <c r="B26" s="29">
        <v>1000</v>
      </c>
      <c r="C26" s="49" t="s">
        <v>98</v>
      </c>
      <c r="D26" s="35" t="s">
        <v>72</v>
      </c>
      <c r="E26" s="31">
        <f>((B26*211)+500000)/100000</f>
        <v>7.11</v>
      </c>
      <c r="F26" s="29"/>
      <c r="G26" s="29"/>
      <c r="H26" s="100" t="s">
        <v>197</v>
      </c>
    </row>
    <row r="27" spans="1:8" ht="15.75">
      <c r="A27" s="118"/>
      <c r="B27" s="29">
        <v>300</v>
      </c>
      <c r="C27" s="22" t="s">
        <v>44</v>
      </c>
      <c r="D27" s="35" t="s">
        <v>72</v>
      </c>
      <c r="E27" s="31">
        <f>((B27*211)+300000)/100000</f>
        <v>3.633</v>
      </c>
      <c r="F27" s="29"/>
      <c r="G27" s="29"/>
      <c r="H27" s="102" t="s">
        <v>198</v>
      </c>
    </row>
    <row r="28" spans="1:8" ht="15.75">
      <c r="A28" s="118"/>
      <c r="B28" s="29">
        <v>500</v>
      </c>
      <c r="C28" s="49" t="s">
        <v>135</v>
      </c>
      <c r="D28" s="35" t="s">
        <v>72</v>
      </c>
      <c r="E28" s="31">
        <f>((B28*211)+800000)/100000</f>
        <v>9.0549999999999997</v>
      </c>
      <c r="F28" s="29"/>
      <c r="G28" s="29"/>
      <c r="H28" s="101" t="s">
        <v>199</v>
      </c>
    </row>
    <row r="29" spans="1:8" ht="30">
      <c r="A29" s="117"/>
      <c r="B29" s="29">
        <v>200</v>
      </c>
      <c r="C29" s="22" t="s">
        <v>46</v>
      </c>
      <c r="D29" s="35" t="s">
        <v>72</v>
      </c>
      <c r="E29" s="31">
        <f>((B29*211)+300000)/100000</f>
        <v>3.4220000000000002</v>
      </c>
      <c r="F29" s="29"/>
      <c r="G29" s="29"/>
      <c r="H29" s="100" t="s">
        <v>200</v>
      </c>
    </row>
    <row r="30" spans="1:8" ht="15.75">
      <c r="A30" s="116" t="s">
        <v>42</v>
      </c>
      <c r="B30" s="29">
        <v>4500</v>
      </c>
      <c r="C30" s="22" t="s">
        <v>47</v>
      </c>
      <c r="D30" s="35" t="s">
        <v>72</v>
      </c>
      <c r="E30" s="31">
        <f t="shared" ref="E30:E32" si="2">B30*211/100000</f>
        <v>9.4949999999999992</v>
      </c>
      <c r="F30" s="29"/>
      <c r="G30" s="29"/>
      <c r="H30" s="99" t="s">
        <v>201</v>
      </c>
    </row>
    <row r="31" spans="1:8" ht="15.75">
      <c r="A31" s="117"/>
      <c r="B31" s="29">
        <v>200</v>
      </c>
      <c r="C31" s="22" t="s">
        <v>48</v>
      </c>
      <c r="D31" s="35" t="s">
        <v>72</v>
      </c>
      <c r="E31" s="31">
        <f>((B31*211)+200000)/100000</f>
        <v>2.4220000000000002</v>
      </c>
      <c r="F31" s="29"/>
      <c r="G31" s="29"/>
      <c r="H31" s="100" t="s">
        <v>202</v>
      </c>
    </row>
    <row r="32" spans="1:8" ht="30">
      <c r="A32" s="44" t="s">
        <v>49</v>
      </c>
      <c r="B32" s="29">
        <v>200</v>
      </c>
      <c r="C32" s="16" t="s">
        <v>50</v>
      </c>
      <c r="D32" s="35" t="s">
        <v>72</v>
      </c>
      <c r="E32" s="31">
        <f t="shared" si="2"/>
        <v>0.42199999999999999</v>
      </c>
      <c r="F32" s="29"/>
      <c r="G32" s="29"/>
      <c r="H32" s="100" t="s">
        <v>203</v>
      </c>
    </row>
    <row r="33" spans="1:10" ht="30">
      <c r="A33" s="110" t="s">
        <v>51</v>
      </c>
      <c r="B33" s="29">
        <v>200</v>
      </c>
      <c r="C33" s="21" t="s">
        <v>52</v>
      </c>
      <c r="D33" s="35" t="s">
        <v>72</v>
      </c>
      <c r="E33" s="31">
        <f>((B33*211)+2572000.67)/100000</f>
        <v>26.1420067</v>
      </c>
      <c r="F33" s="29"/>
      <c r="G33" s="29"/>
      <c r="H33" s="101" t="s">
        <v>204</v>
      </c>
      <c r="J33" s="37"/>
    </row>
    <row r="34" spans="1:10" ht="15.75">
      <c r="A34" s="110"/>
      <c r="B34" s="29">
        <v>200</v>
      </c>
      <c r="C34" s="21" t="s">
        <v>53</v>
      </c>
      <c r="D34" s="35" t="s">
        <v>72</v>
      </c>
      <c r="E34" s="31">
        <f>((B34*211)+800000)/100000</f>
        <v>8.4220000000000006</v>
      </c>
      <c r="F34" s="29"/>
      <c r="G34" s="29"/>
      <c r="H34" s="100" t="s">
        <v>205</v>
      </c>
    </row>
    <row r="35" spans="1:10" ht="15.75">
      <c r="A35" s="111"/>
      <c r="B35" s="29">
        <v>200</v>
      </c>
      <c r="C35" s="21" t="s">
        <v>54</v>
      </c>
      <c r="D35" s="35" t="s">
        <v>72</v>
      </c>
      <c r="E35" s="31">
        <f>((B35*211)+885000)/100000</f>
        <v>9.2720000000000002</v>
      </c>
      <c r="F35" s="29"/>
      <c r="G35" s="29"/>
      <c r="H35" s="100" t="s">
        <v>206</v>
      </c>
    </row>
    <row r="36" spans="1:10" ht="18">
      <c r="A36" s="1"/>
      <c r="B36" s="10">
        <f>B35+B34+B33+B32+B31+B30+B29+B28+B27+B26+B25+B23+B22+B21+B20+B19+B18+B17+B15+B14+B13+B12+B11+B10</f>
        <v>64600</v>
      </c>
      <c r="C36" s="1"/>
      <c r="D36" s="1"/>
      <c r="E36" s="26">
        <f>E35+E34+E33+E32+E31+E30+E29+E28+E27+E26+E25+E23+E22+E21+E20+E19+E18+E17+E15+E14+E13+E12+E11+E10</f>
        <v>227.17600669999996</v>
      </c>
      <c r="F36" s="27"/>
      <c r="G36" s="1"/>
      <c r="H36" s="1"/>
    </row>
    <row r="37" spans="1:10" ht="18">
      <c r="A37" s="1"/>
      <c r="B37" s="11">
        <f>B3*100</f>
        <v>64600</v>
      </c>
      <c r="C37" s="1"/>
      <c r="D37" s="1"/>
      <c r="E37" s="12">
        <f>(E2+E3)/100000</f>
        <v>227.17666666666665</v>
      </c>
      <c r="F37" s="27"/>
      <c r="G37" s="1"/>
      <c r="H37" s="1"/>
    </row>
    <row r="38" spans="1:10" ht="18">
      <c r="A38" s="13" t="s">
        <v>57</v>
      </c>
      <c r="B38" s="1"/>
      <c r="C38" s="14">
        <f>B37*211/100000</f>
        <v>136.30600000000001</v>
      </c>
      <c r="D38" s="15" t="s">
        <v>58</v>
      </c>
      <c r="E38" s="1"/>
      <c r="F38" s="27"/>
      <c r="G38" s="1"/>
      <c r="H38" s="1"/>
    </row>
    <row r="39" spans="1:10" ht="18">
      <c r="A39" s="13" t="s">
        <v>59</v>
      </c>
      <c r="B39" s="1"/>
      <c r="C39" s="14">
        <f>C38*2/3</f>
        <v>90.870666666666679</v>
      </c>
      <c r="D39" s="15" t="s">
        <v>58</v>
      </c>
      <c r="E39" s="1"/>
      <c r="F39" s="27"/>
      <c r="G39" s="1"/>
      <c r="H39" s="1"/>
    </row>
    <row r="40" spans="1:10" ht="18">
      <c r="A40" s="15" t="s">
        <v>60</v>
      </c>
      <c r="B40" s="1"/>
      <c r="C40" s="1"/>
      <c r="D40" s="1"/>
      <c r="E40" s="1"/>
      <c r="F40" s="27"/>
      <c r="G40" s="1"/>
      <c r="H40" s="1"/>
    </row>
  </sheetData>
  <mergeCells count="17">
    <mergeCell ref="G7:G8"/>
    <mergeCell ref="H7:H8"/>
    <mergeCell ref="A9:H9"/>
    <mergeCell ref="A21:A22"/>
    <mergeCell ref="A7:A8"/>
    <mergeCell ref="B7:B8"/>
    <mergeCell ref="C7:C8"/>
    <mergeCell ref="D7:D8"/>
    <mergeCell ref="E7:E8"/>
    <mergeCell ref="F7:F8"/>
    <mergeCell ref="A11:A12"/>
    <mergeCell ref="A16:H16"/>
    <mergeCell ref="A17:A18"/>
    <mergeCell ref="A24:H24"/>
    <mergeCell ref="A26:A29"/>
    <mergeCell ref="A30:A31"/>
    <mergeCell ref="A33:A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K39"/>
  <sheetViews>
    <sheetView workbookViewId="0">
      <selection sqref="A1:H39"/>
    </sheetView>
  </sheetViews>
  <sheetFormatPr defaultRowHeight="15"/>
  <cols>
    <col min="1" max="1" width="19" customWidth="1"/>
    <col min="3" max="3" width="25.28515625" customWidth="1"/>
    <col min="4" max="4" width="16.85546875" customWidth="1"/>
    <col min="5" max="5" width="20.140625" customWidth="1"/>
    <col min="8" max="8" width="23.7109375" bestFit="1" customWidth="1"/>
  </cols>
  <sheetData>
    <row r="1" spans="1:8">
      <c r="A1" s="2" t="s">
        <v>65</v>
      </c>
      <c r="B1" s="3"/>
      <c r="C1" s="4"/>
      <c r="D1" s="4" t="s">
        <v>0</v>
      </c>
      <c r="E1" s="4"/>
      <c r="F1" s="3"/>
      <c r="G1" s="3"/>
      <c r="H1" s="19"/>
    </row>
    <row r="2" spans="1:8">
      <c r="A2" s="5"/>
      <c r="B2" s="3"/>
      <c r="C2" s="6"/>
      <c r="D2" s="6" t="s">
        <v>1</v>
      </c>
      <c r="E2" s="7">
        <f>B3*211*100</f>
        <v>18652400</v>
      </c>
      <c r="F2" s="3"/>
      <c r="G2" s="3"/>
      <c r="H2" s="19"/>
    </row>
    <row r="3" spans="1:8">
      <c r="A3" s="2" t="s">
        <v>2</v>
      </c>
      <c r="B3" s="3">
        <v>884</v>
      </c>
      <c r="C3" s="6"/>
      <c r="D3" s="6" t="s">
        <v>3</v>
      </c>
      <c r="E3" s="8">
        <f>E2*2/3</f>
        <v>12434933.333333334</v>
      </c>
      <c r="F3" s="3"/>
      <c r="G3" s="3"/>
      <c r="H3" s="19"/>
    </row>
    <row r="4" spans="1:8">
      <c r="A4" s="17"/>
      <c r="B4" s="18"/>
      <c r="C4" s="6"/>
      <c r="D4" s="6" t="s">
        <v>4</v>
      </c>
      <c r="E4" s="8">
        <f>SUM(E2:E3)</f>
        <v>31087333.333333336</v>
      </c>
      <c r="F4" s="3"/>
      <c r="G4" s="3"/>
      <c r="H4" s="19"/>
    </row>
    <row r="5" spans="1:8">
      <c r="A5" s="17"/>
      <c r="B5" s="18"/>
      <c r="C5" s="6"/>
      <c r="D5" s="6" t="s">
        <v>5</v>
      </c>
      <c r="E5" s="7">
        <f>E4*0.06</f>
        <v>1865240</v>
      </c>
      <c r="F5" s="3"/>
      <c r="G5" s="3"/>
      <c r="H5" s="19"/>
    </row>
    <row r="6" spans="1:8">
      <c r="A6" s="17"/>
      <c r="B6" s="18"/>
      <c r="C6" s="6"/>
      <c r="D6" s="6" t="s">
        <v>6</v>
      </c>
      <c r="E6" s="34">
        <f>E5+E4</f>
        <v>32952573.333333336</v>
      </c>
      <c r="F6" s="3"/>
      <c r="G6" s="3"/>
      <c r="H6" s="19"/>
    </row>
    <row r="7" spans="1:8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8">
      <c r="A8" s="121"/>
      <c r="B8" s="122"/>
      <c r="C8" s="124"/>
      <c r="D8" s="126"/>
      <c r="E8" s="128"/>
      <c r="F8" s="128"/>
      <c r="G8" s="119"/>
      <c r="H8" s="120"/>
    </row>
    <row r="9" spans="1:8">
      <c r="A9" s="113" t="s">
        <v>15</v>
      </c>
      <c r="B9" s="113"/>
      <c r="C9" s="113"/>
      <c r="D9" s="113"/>
      <c r="E9" s="113"/>
      <c r="F9" s="113"/>
      <c r="G9" s="113"/>
      <c r="H9" s="113"/>
    </row>
    <row r="10" spans="1:8" ht="30">
      <c r="A10" s="39" t="s">
        <v>16</v>
      </c>
      <c r="B10" s="32">
        <v>8600</v>
      </c>
      <c r="C10" s="21" t="s">
        <v>17</v>
      </c>
      <c r="D10" s="35" t="s">
        <v>73</v>
      </c>
      <c r="E10" s="31">
        <f>B10*211/100000</f>
        <v>18.146000000000001</v>
      </c>
      <c r="F10" s="32"/>
      <c r="G10" s="9"/>
      <c r="H10" s="101" t="s">
        <v>207</v>
      </c>
    </row>
    <row r="11" spans="1:8" ht="15.75">
      <c r="A11" s="114" t="s">
        <v>19</v>
      </c>
      <c r="B11" s="32">
        <v>200</v>
      </c>
      <c r="C11" s="22" t="s">
        <v>20</v>
      </c>
      <c r="D11" s="35" t="s">
        <v>73</v>
      </c>
      <c r="E11" s="31">
        <f>((B11*211)+300000)/100000</f>
        <v>3.4220000000000002</v>
      </c>
      <c r="F11" s="32"/>
      <c r="G11" s="9"/>
      <c r="H11" s="102" t="s">
        <v>208</v>
      </c>
    </row>
    <row r="12" spans="1:8" ht="15.75">
      <c r="A12" s="115"/>
      <c r="B12" s="32">
        <v>200</v>
      </c>
      <c r="C12" s="23" t="s">
        <v>21</v>
      </c>
      <c r="D12" s="35" t="s">
        <v>73</v>
      </c>
      <c r="E12" s="31">
        <f>((B12*211)+2000000)/100000</f>
        <v>20.422000000000001</v>
      </c>
      <c r="F12" s="32"/>
      <c r="G12" s="9"/>
      <c r="H12" s="99" t="s">
        <v>209</v>
      </c>
    </row>
    <row r="13" spans="1:8" ht="15.75">
      <c r="A13" s="40" t="s">
        <v>22</v>
      </c>
      <c r="B13" s="32">
        <v>200</v>
      </c>
      <c r="C13" s="23" t="s">
        <v>23</v>
      </c>
      <c r="D13" s="35" t="s">
        <v>73</v>
      </c>
      <c r="E13" s="31">
        <f>((B13*211)+100000)/100000</f>
        <v>1.4219999999999999</v>
      </c>
      <c r="F13" s="32"/>
      <c r="G13" s="9"/>
      <c r="H13" s="101" t="s">
        <v>210</v>
      </c>
    </row>
    <row r="14" spans="1:8" ht="30">
      <c r="A14" s="39" t="s">
        <v>24</v>
      </c>
      <c r="B14" s="32">
        <v>200</v>
      </c>
      <c r="C14" s="22" t="s">
        <v>25</v>
      </c>
      <c r="D14" s="35" t="s">
        <v>73</v>
      </c>
      <c r="E14" s="31">
        <f>((B14*211)+250000)/100000</f>
        <v>2.9220000000000002</v>
      </c>
      <c r="F14" s="32"/>
      <c r="G14" s="9"/>
      <c r="H14" s="102" t="s">
        <v>211</v>
      </c>
    </row>
    <row r="15" spans="1:8" ht="15.75">
      <c r="A15" s="41" t="s">
        <v>26</v>
      </c>
      <c r="B15" s="32">
        <v>16500</v>
      </c>
      <c r="C15" s="25" t="s">
        <v>27</v>
      </c>
      <c r="D15" s="35" t="s">
        <v>73</v>
      </c>
      <c r="E15" s="31">
        <f t="shared" ref="E15" si="0">B15*211/100000</f>
        <v>34.814999999999998</v>
      </c>
      <c r="F15" s="32"/>
      <c r="G15" s="9"/>
      <c r="H15" s="101" t="s">
        <v>212</v>
      </c>
    </row>
    <row r="16" spans="1:8">
      <c r="A16" s="112" t="s">
        <v>28</v>
      </c>
      <c r="B16" s="112"/>
      <c r="C16" s="112"/>
      <c r="D16" s="112"/>
      <c r="E16" s="112"/>
      <c r="F16" s="112"/>
      <c r="G16" s="112"/>
      <c r="H16" s="112"/>
    </row>
    <row r="17" spans="1:11" ht="15.75">
      <c r="A17" s="116" t="s">
        <v>29</v>
      </c>
      <c r="B17" s="30">
        <v>1000</v>
      </c>
      <c r="C17" s="22" t="s">
        <v>18</v>
      </c>
      <c r="D17" s="35" t="s">
        <v>73</v>
      </c>
      <c r="E17" s="31">
        <f t="shared" ref="E17:E22" si="1">B17*211/100000</f>
        <v>2.11</v>
      </c>
      <c r="F17" s="30"/>
      <c r="G17" s="30"/>
      <c r="H17" s="102" t="s">
        <v>213</v>
      </c>
    </row>
    <row r="18" spans="1:11" ht="15.75">
      <c r="A18" s="117"/>
      <c r="B18" s="30">
        <v>17710</v>
      </c>
      <c r="C18" s="23" t="s">
        <v>26</v>
      </c>
      <c r="D18" s="35" t="s">
        <v>73</v>
      </c>
      <c r="E18" s="31">
        <f t="shared" si="1"/>
        <v>37.368099999999998</v>
      </c>
      <c r="F18" s="30"/>
      <c r="G18" s="30"/>
      <c r="H18" s="100" t="s">
        <v>214</v>
      </c>
    </row>
    <row r="19" spans="1:11" ht="30">
      <c r="A19" s="42" t="s">
        <v>30</v>
      </c>
      <c r="B19" s="30">
        <v>100</v>
      </c>
      <c r="C19" s="22" t="s">
        <v>31</v>
      </c>
      <c r="D19" s="35" t="s">
        <v>73</v>
      </c>
      <c r="E19" s="31">
        <f>((B19*211)+100000)/100000</f>
        <v>1.2110000000000001</v>
      </c>
      <c r="F19" s="30"/>
      <c r="G19" s="30"/>
      <c r="H19" s="99" t="s">
        <v>215</v>
      </c>
    </row>
    <row r="20" spans="1:11" ht="15.75">
      <c r="A20" s="116" t="s">
        <v>34</v>
      </c>
      <c r="B20" s="30">
        <v>200</v>
      </c>
      <c r="C20" s="22" t="s">
        <v>35</v>
      </c>
      <c r="D20" s="35" t="s">
        <v>73</v>
      </c>
      <c r="E20" s="31">
        <f>((B20*211)+450000)/100000</f>
        <v>4.9219999999999997</v>
      </c>
      <c r="F20" s="30"/>
      <c r="G20" s="30"/>
      <c r="H20" s="99" t="s">
        <v>216</v>
      </c>
    </row>
    <row r="21" spans="1:11" ht="15.75">
      <c r="A21" s="117"/>
      <c r="B21" s="32">
        <v>100</v>
      </c>
      <c r="C21" s="22" t="s">
        <v>36</v>
      </c>
      <c r="D21" s="35" t="s">
        <v>73</v>
      </c>
      <c r="E21" s="31">
        <f>((B21*211)+180000)/100000</f>
        <v>2.0110000000000001</v>
      </c>
      <c r="F21" s="32"/>
      <c r="G21" s="9"/>
      <c r="H21" s="99" t="s">
        <v>217</v>
      </c>
    </row>
    <row r="22" spans="1:11" ht="30">
      <c r="A22" s="44" t="s">
        <v>37</v>
      </c>
      <c r="B22" s="32">
        <v>35690</v>
      </c>
      <c r="C22" s="22" t="s">
        <v>38</v>
      </c>
      <c r="D22" s="35" t="s">
        <v>73</v>
      </c>
      <c r="E22" s="31">
        <f t="shared" si="1"/>
        <v>75.305899999999994</v>
      </c>
      <c r="F22" s="32"/>
      <c r="G22" s="9"/>
      <c r="H22" s="99" t="s">
        <v>218</v>
      </c>
    </row>
    <row r="23" spans="1:11">
      <c r="A23" s="109" t="s">
        <v>39</v>
      </c>
      <c r="B23" s="109"/>
      <c r="C23" s="109"/>
      <c r="D23" s="109"/>
      <c r="E23" s="109"/>
      <c r="F23" s="109"/>
      <c r="G23" s="109"/>
      <c r="H23" s="109"/>
    </row>
    <row r="24" spans="1:11" ht="15.75">
      <c r="A24" s="36" t="s">
        <v>40</v>
      </c>
      <c r="B24" s="33">
        <v>200</v>
      </c>
      <c r="C24" s="22" t="s">
        <v>41</v>
      </c>
      <c r="D24" s="35" t="s">
        <v>73</v>
      </c>
      <c r="E24" s="31">
        <f>((B24*211)+2000000)/100000</f>
        <v>20.422000000000001</v>
      </c>
      <c r="F24" s="29"/>
      <c r="G24" s="29"/>
      <c r="H24" s="101" t="s">
        <v>219</v>
      </c>
    </row>
    <row r="25" spans="1:11" ht="15.75">
      <c r="A25" s="116" t="s">
        <v>42</v>
      </c>
      <c r="B25" s="33">
        <v>1000</v>
      </c>
      <c r="C25" s="49" t="s">
        <v>98</v>
      </c>
      <c r="D25" s="35" t="s">
        <v>73</v>
      </c>
      <c r="E25" s="31">
        <f>((B25*211)+1000000)/100000</f>
        <v>12.11</v>
      </c>
      <c r="F25" s="29"/>
      <c r="G25" s="29"/>
      <c r="H25" s="100" t="s">
        <v>220</v>
      </c>
    </row>
    <row r="26" spans="1:11" ht="15.75">
      <c r="A26" s="118"/>
      <c r="B26" s="33">
        <v>300</v>
      </c>
      <c r="C26" s="22" t="s">
        <v>44</v>
      </c>
      <c r="D26" s="35" t="s">
        <v>73</v>
      </c>
      <c r="E26" s="31">
        <f>((B26*211)+300000)/100000</f>
        <v>3.633</v>
      </c>
      <c r="F26" s="29"/>
      <c r="G26" s="29"/>
      <c r="H26" s="99" t="s">
        <v>221</v>
      </c>
    </row>
    <row r="27" spans="1:11" ht="15.75">
      <c r="A27" s="118"/>
      <c r="B27" s="33">
        <v>500</v>
      </c>
      <c r="C27" s="49" t="s">
        <v>135</v>
      </c>
      <c r="D27" s="35" t="s">
        <v>73</v>
      </c>
      <c r="E27" s="31">
        <f>((B27*211)+800000)/100000</f>
        <v>9.0549999999999997</v>
      </c>
      <c r="F27" s="29"/>
      <c r="G27" s="29"/>
      <c r="H27" s="99" t="s">
        <v>222</v>
      </c>
    </row>
    <row r="28" spans="1:11" ht="30">
      <c r="A28" s="117"/>
      <c r="B28" s="33">
        <v>200</v>
      </c>
      <c r="C28" s="22" t="s">
        <v>46</v>
      </c>
      <c r="D28" s="35" t="s">
        <v>73</v>
      </c>
      <c r="E28" s="31">
        <f>((B28*211)+1000000)/100000</f>
        <v>10.422000000000001</v>
      </c>
      <c r="F28" s="29"/>
      <c r="G28" s="29"/>
      <c r="H28" s="100" t="s">
        <v>223</v>
      </c>
    </row>
    <row r="29" spans="1:11" ht="15.75">
      <c r="A29" s="116" t="s">
        <v>42</v>
      </c>
      <c r="B29" s="33">
        <v>4500</v>
      </c>
      <c r="C29" s="22" t="s">
        <v>47</v>
      </c>
      <c r="D29" s="35" t="s">
        <v>73</v>
      </c>
      <c r="E29" s="31">
        <f t="shared" ref="E29:E31" si="2">B29*211/100000</f>
        <v>9.4949999999999992</v>
      </c>
      <c r="F29" s="29"/>
      <c r="G29" s="29"/>
      <c r="H29" s="100" t="s">
        <v>224</v>
      </c>
    </row>
    <row r="30" spans="1:11" ht="15.75">
      <c r="A30" s="117"/>
      <c r="B30" s="33">
        <v>200</v>
      </c>
      <c r="C30" s="22" t="s">
        <v>48</v>
      </c>
      <c r="D30" s="35" t="s">
        <v>73</v>
      </c>
      <c r="E30" s="31">
        <f>((B30*211)+200000)/100000</f>
        <v>2.4220000000000002</v>
      </c>
      <c r="F30" s="29"/>
      <c r="G30" s="29"/>
      <c r="H30" s="100" t="s">
        <v>225</v>
      </c>
    </row>
    <row r="31" spans="1:11" ht="30">
      <c r="A31" s="44" t="s">
        <v>49</v>
      </c>
      <c r="B31" s="33">
        <v>200</v>
      </c>
      <c r="C31" s="16" t="s">
        <v>50</v>
      </c>
      <c r="D31" s="35" t="s">
        <v>73</v>
      </c>
      <c r="E31" s="31">
        <f t="shared" si="2"/>
        <v>0.42199999999999999</v>
      </c>
      <c r="F31" s="29"/>
      <c r="G31" s="29"/>
      <c r="H31" s="99" t="s">
        <v>226</v>
      </c>
    </row>
    <row r="32" spans="1:11" ht="30">
      <c r="A32" s="110" t="s">
        <v>51</v>
      </c>
      <c r="B32" s="33">
        <v>200</v>
      </c>
      <c r="C32" s="21" t="s">
        <v>52</v>
      </c>
      <c r="D32" s="35" t="s">
        <v>73</v>
      </c>
      <c r="E32" s="31">
        <f>((B32*211)+1000000.67)/100000</f>
        <v>10.422006700000001</v>
      </c>
      <c r="F32" s="29"/>
      <c r="G32" s="29"/>
      <c r="H32" s="99" t="s">
        <v>227</v>
      </c>
      <c r="K32" s="37"/>
    </row>
    <row r="33" spans="1:8" ht="15.75">
      <c r="A33" s="110"/>
      <c r="B33" s="33">
        <v>200</v>
      </c>
      <c r="C33" s="21" t="s">
        <v>53</v>
      </c>
      <c r="D33" s="35" t="s">
        <v>73</v>
      </c>
      <c r="E33" s="31">
        <f>((B33*211)+1070000)/100000</f>
        <v>11.122</v>
      </c>
      <c r="F33" s="29"/>
      <c r="G33" s="29"/>
      <c r="H33" s="100" t="s">
        <v>228</v>
      </c>
    </row>
    <row r="34" spans="1:8" ht="15.75">
      <c r="A34" s="111"/>
      <c r="B34" s="33">
        <v>200</v>
      </c>
      <c r="C34" s="21" t="s">
        <v>54</v>
      </c>
      <c r="D34" s="35" t="s">
        <v>73</v>
      </c>
      <c r="E34" s="31">
        <f>((B34*211)+1685000)/100000</f>
        <v>17.271999999999998</v>
      </c>
      <c r="F34" s="29"/>
      <c r="G34" s="29"/>
      <c r="H34" s="100" t="s">
        <v>229</v>
      </c>
    </row>
    <row r="35" spans="1:8" ht="18">
      <c r="A35" s="1"/>
      <c r="B35" s="10">
        <f>B34+B33+B32+B31+B30+B29+B28+B27+B26+B25+B24+B22+B21+B20+B19+B18+B17+B15+B14+B13+B12+B11+B10</f>
        <v>88400</v>
      </c>
      <c r="C35" s="1"/>
      <c r="D35" s="1"/>
      <c r="E35" s="26">
        <f>E34+E33+E32+E31+E30+E29+E28+E27+E26+E25+E24+E22+E21+E20+E19+E18+E17+E15+E14+E13+E12+E11+E10</f>
        <v>310.87400670000017</v>
      </c>
      <c r="F35" s="27"/>
      <c r="G35" s="1"/>
      <c r="H35" s="1"/>
    </row>
    <row r="36" spans="1:8" ht="18">
      <c r="A36" s="1"/>
      <c r="B36" s="11">
        <f>B3*100</f>
        <v>88400</v>
      </c>
      <c r="C36" s="1"/>
      <c r="D36" s="1"/>
      <c r="E36" s="12">
        <f>(E2+E3)/100000</f>
        <v>310.87333333333333</v>
      </c>
      <c r="F36" s="27"/>
      <c r="G36" s="1"/>
      <c r="H36" s="1"/>
    </row>
    <row r="37" spans="1:8" ht="18">
      <c r="A37" s="13" t="s">
        <v>57</v>
      </c>
      <c r="B37" s="1"/>
      <c r="C37" s="14">
        <f>B36*211/100000</f>
        <v>186.524</v>
      </c>
      <c r="D37" s="15" t="s">
        <v>58</v>
      </c>
      <c r="E37" s="1"/>
      <c r="F37" s="27"/>
      <c r="G37" s="1"/>
      <c r="H37" s="1"/>
    </row>
    <row r="38" spans="1:8" ht="18">
      <c r="A38" s="13" t="s">
        <v>59</v>
      </c>
      <c r="B38" s="1"/>
      <c r="C38" s="14">
        <f>C37*2/3</f>
        <v>124.34933333333333</v>
      </c>
      <c r="D38" s="15" t="s">
        <v>58</v>
      </c>
      <c r="E38" s="1"/>
      <c r="F38" s="27"/>
      <c r="G38" s="1"/>
      <c r="H38" s="1"/>
    </row>
    <row r="39" spans="1:8" ht="18">
      <c r="A39" s="15" t="s">
        <v>60</v>
      </c>
      <c r="B39" s="1"/>
      <c r="C39" s="1"/>
      <c r="D39" s="1"/>
      <c r="E39" s="1"/>
      <c r="F39" s="27"/>
      <c r="G39" s="1"/>
      <c r="H39" s="1"/>
    </row>
  </sheetData>
  <mergeCells count="17">
    <mergeCell ref="G7:G8"/>
    <mergeCell ref="H7:H8"/>
    <mergeCell ref="A9:H9"/>
    <mergeCell ref="A20:A21"/>
    <mergeCell ref="A7:A8"/>
    <mergeCell ref="B7:B8"/>
    <mergeCell ref="C7:C8"/>
    <mergeCell ref="D7:D8"/>
    <mergeCell ref="E7:E8"/>
    <mergeCell ref="F7:F8"/>
    <mergeCell ref="A11:A12"/>
    <mergeCell ref="A16:H16"/>
    <mergeCell ref="A17:A18"/>
    <mergeCell ref="A23:H23"/>
    <mergeCell ref="A25:A28"/>
    <mergeCell ref="A29:A30"/>
    <mergeCell ref="A32:A3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K41"/>
  <sheetViews>
    <sheetView workbookViewId="0">
      <selection sqref="A1:H39"/>
    </sheetView>
  </sheetViews>
  <sheetFormatPr defaultRowHeight="15"/>
  <cols>
    <col min="1" max="1" width="21.85546875" customWidth="1"/>
    <col min="3" max="3" width="23" customWidth="1"/>
    <col min="4" max="4" width="19.7109375" customWidth="1"/>
    <col min="5" max="5" width="15.7109375" customWidth="1"/>
    <col min="8" max="8" width="23.7109375" bestFit="1" customWidth="1"/>
    <col min="10" max="10" width="14.140625" bestFit="1" customWidth="1"/>
  </cols>
  <sheetData>
    <row r="1" spans="1:8">
      <c r="A1" s="2" t="s">
        <v>76</v>
      </c>
      <c r="B1" s="3"/>
      <c r="C1" s="4"/>
      <c r="D1" s="4" t="s">
        <v>0</v>
      </c>
      <c r="E1" s="4"/>
      <c r="F1" s="3"/>
      <c r="G1" s="3"/>
      <c r="H1" s="19"/>
    </row>
    <row r="2" spans="1:8">
      <c r="A2" s="5"/>
      <c r="B2" s="3"/>
      <c r="C2" s="6"/>
      <c r="D2" s="6" t="s">
        <v>1</v>
      </c>
      <c r="E2" s="7">
        <f>B3*211*100</f>
        <v>9832600</v>
      </c>
      <c r="F2" s="3"/>
      <c r="G2" s="3"/>
      <c r="H2" s="19"/>
    </row>
    <row r="3" spans="1:8">
      <c r="A3" s="2" t="s">
        <v>2</v>
      </c>
      <c r="B3" s="3">
        <v>466</v>
      </c>
      <c r="C3" s="6"/>
      <c r="D3" s="6" t="s">
        <v>3</v>
      </c>
      <c r="E3" s="8">
        <f>E2*2/3</f>
        <v>6555066.666666667</v>
      </c>
      <c r="F3" s="3"/>
      <c r="G3" s="3"/>
      <c r="H3" s="19"/>
    </row>
    <row r="4" spans="1:8">
      <c r="A4" s="17"/>
      <c r="B4" s="18"/>
      <c r="C4" s="6"/>
      <c r="D4" s="6" t="s">
        <v>4</v>
      </c>
      <c r="E4" s="8">
        <f>SUM(E2:E3)</f>
        <v>16387666.666666668</v>
      </c>
      <c r="F4" s="3"/>
      <c r="G4" s="3"/>
      <c r="H4" s="19"/>
    </row>
    <row r="5" spans="1:8">
      <c r="A5" s="17"/>
      <c r="B5" s="18"/>
      <c r="C5" s="6"/>
      <c r="D5" s="6" t="s">
        <v>5</v>
      </c>
      <c r="E5" s="7">
        <f>E4*0.06</f>
        <v>983260</v>
      </c>
      <c r="F5" s="3"/>
      <c r="G5" s="3"/>
      <c r="H5" s="19"/>
    </row>
    <row r="6" spans="1:8">
      <c r="A6" s="17"/>
      <c r="B6" s="18"/>
      <c r="C6" s="6"/>
      <c r="D6" s="6" t="s">
        <v>6</v>
      </c>
      <c r="E6" s="34">
        <f>E5+E4</f>
        <v>17370926.666666668</v>
      </c>
      <c r="F6" s="3"/>
      <c r="G6" s="3"/>
      <c r="H6" s="19"/>
    </row>
    <row r="7" spans="1:8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8">
      <c r="A8" s="121"/>
      <c r="B8" s="122"/>
      <c r="C8" s="124"/>
      <c r="D8" s="126"/>
      <c r="E8" s="128"/>
      <c r="F8" s="128"/>
      <c r="G8" s="119"/>
      <c r="H8" s="120"/>
    </row>
    <row r="9" spans="1:8" ht="16.149999999999999" customHeight="1">
      <c r="A9" s="113" t="s">
        <v>15</v>
      </c>
      <c r="B9" s="113"/>
      <c r="C9" s="113"/>
      <c r="D9" s="113"/>
      <c r="E9" s="113"/>
      <c r="F9" s="113"/>
      <c r="G9" s="113"/>
      <c r="H9" s="113"/>
    </row>
    <row r="10" spans="1:8" ht="29.45" customHeight="1">
      <c r="A10" s="39" t="s">
        <v>16</v>
      </c>
      <c r="B10" s="32">
        <v>5500</v>
      </c>
      <c r="C10" s="21" t="s">
        <v>17</v>
      </c>
      <c r="D10" s="35" t="s">
        <v>75</v>
      </c>
      <c r="E10" s="31">
        <f>B10*211/100000</f>
        <v>11.605</v>
      </c>
      <c r="F10" s="32"/>
      <c r="G10" s="9"/>
      <c r="H10" s="98" t="s">
        <v>230</v>
      </c>
    </row>
    <row r="11" spans="1:8" ht="16.149999999999999" customHeight="1">
      <c r="A11" s="114" t="s">
        <v>19</v>
      </c>
      <c r="B11" s="32">
        <v>200</v>
      </c>
      <c r="C11" s="22" t="s">
        <v>20</v>
      </c>
      <c r="D11" s="35" t="s">
        <v>75</v>
      </c>
      <c r="E11" s="31">
        <f>((B11*211)+300000)/100000</f>
        <v>3.4220000000000002</v>
      </c>
      <c r="F11" s="32"/>
      <c r="G11" s="9"/>
      <c r="H11" s="87" t="s">
        <v>231</v>
      </c>
    </row>
    <row r="12" spans="1:8" ht="16.149999999999999" customHeight="1">
      <c r="A12" s="115"/>
      <c r="B12" s="32">
        <v>200</v>
      </c>
      <c r="C12" s="23" t="s">
        <v>21</v>
      </c>
      <c r="D12" s="35" t="s">
        <v>75</v>
      </c>
      <c r="E12" s="31">
        <f>((B12*211)+500000)/100000</f>
        <v>5.4219999999999997</v>
      </c>
      <c r="F12" s="32"/>
      <c r="G12" s="9"/>
      <c r="H12" s="98" t="s">
        <v>232</v>
      </c>
    </row>
    <row r="13" spans="1:8" ht="16.149999999999999" customHeight="1">
      <c r="A13" s="40" t="s">
        <v>22</v>
      </c>
      <c r="B13" s="32">
        <v>200</v>
      </c>
      <c r="C13" s="23" t="s">
        <v>23</v>
      </c>
      <c r="D13" s="35" t="s">
        <v>75</v>
      </c>
      <c r="E13" s="31">
        <f>((B13*211)+100000)/100000</f>
        <v>1.4219999999999999</v>
      </c>
      <c r="F13" s="32"/>
      <c r="G13" s="9"/>
      <c r="H13" s="87" t="s">
        <v>233</v>
      </c>
    </row>
    <row r="14" spans="1:8" ht="16.149999999999999" customHeight="1">
      <c r="A14" s="39" t="s">
        <v>24</v>
      </c>
      <c r="B14" s="32">
        <v>200</v>
      </c>
      <c r="C14" s="22" t="s">
        <v>25</v>
      </c>
      <c r="D14" s="35" t="s">
        <v>75</v>
      </c>
      <c r="E14" s="31">
        <f>((B14*211)+250000)/100000</f>
        <v>2.9220000000000002</v>
      </c>
      <c r="F14" s="32"/>
      <c r="G14" s="9"/>
      <c r="H14" s="87" t="s">
        <v>234</v>
      </c>
    </row>
    <row r="15" spans="1:8" ht="16.149999999999999" customHeight="1">
      <c r="A15" s="41" t="s">
        <v>26</v>
      </c>
      <c r="B15" s="32">
        <v>8200</v>
      </c>
      <c r="C15" s="25" t="s">
        <v>27</v>
      </c>
      <c r="D15" s="35" t="s">
        <v>75</v>
      </c>
      <c r="E15" s="31">
        <f t="shared" ref="E15" si="0">B15*211/100000</f>
        <v>17.302</v>
      </c>
      <c r="F15" s="32"/>
      <c r="G15" s="9"/>
      <c r="H15" s="93" t="s">
        <v>235</v>
      </c>
    </row>
    <row r="16" spans="1:8" ht="16.149999999999999" customHeight="1">
      <c r="A16" s="112" t="s">
        <v>28</v>
      </c>
      <c r="B16" s="112"/>
      <c r="C16" s="112"/>
      <c r="D16" s="112"/>
      <c r="E16" s="112"/>
      <c r="F16" s="112"/>
      <c r="G16" s="112"/>
      <c r="H16" s="112"/>
    </row>
    <row r="17" spans="1:8" ht="16.149999999999999" customHeight="1">
      <c r="A17" s="116" t="s">
        <v>29</v>
      </c>
      <c r="B17" s="30">
        <v>1000</v>
      </c>
      <c r="C17" s="22" t="s">
        <v>18</v>
      </c>
      <c r="D17" s="35" t="s">
        <v>75</v>
      </c>
      <c r="E17" s="31">
        <f t="shared" ref="E17:E22" si="1">B17*211/100000</f>
        <v>2.11</v>
      </c>
      <c r="F17" s="30"/>
      <c r="G17" s="30"/>
      <c r="H17" s="98" t="s">
        <v>236</v>
      </c>
    </row>
    <row r="18" spans="1:8" ht="16.149999999999999" customHeight="1">
      <c r="A18" s="117"/>
      <c r="B18" s="30">
        <v>11000</v>
      </c>
      <c r="C18" s="23" t="s">
        <v>26</v>
      </c>
      <c r="D18" s="35" t="s">
        <v>75</v>
      </c>
      <c r="E18" s="31">
        <f t="shared" si="1"/>
        <v>23.21</v>
      </c>
      <c r="F18" s="30"/>
      <c r="G18" s="30"/>
      <c r="H18" s="98" t="s">
        <v>237</v>
      </c>
    </row>
    <row r="19" spans="1:8" ht="16.149999999999999" customHeight="1">
      <c r="A19" s="42" t="s">
        <v>30</v>
      </c>
      <c r="B19" s="30">
        <v>100</v>
      </c>
      <c r="C19" s="22" t="s">
        <v>31</v>
      </c>
      <c r="D19" s="35" t="s">
        <v>75</v>
      </c>
      <c r="E19" s="31">
        <f>((B19*211)+100000)/100000</f>
        <v>1.2110000000000001</v>
      </c>
      <c r="F19" s="30"/>
      <c r="G19" s="30"/>
      <c r="H19" s="87" t="s">
        <v>238</v>
      </c>
    </row>
    <row r="20" spans="1:8" ht="16.149999999999999" customHeight="1">
      <c r="A20" s="116" t="s">
        <v>34</v>
      </c>
      <c r="B20" s="30">
        <v>200</v>
      </c>
      <c r="C20" s="22" t="s">
        <v>35</v>
      </c>
      <c r="D20" s="35" t="s">
        <v>75</v>
      </c>
      <c r="E20" s="31">
        <f>((B20*211)+450000)/100000</f>
        <v>4.9219999999999997</v>
      </c>
      <c r="F20" s="30"/>
      <c r="G20" s="30"/>
      <c r="H20" s="98" t="s">
        <v>239</v>
      </c>
    </row>
    <row r="21" spans="1:8" ht="16.149999999999999" customHeight="1">
      <c r="A21" s="117"/>
      <c r="B21" s="32">
        <v>100</v>
      </c>
      <c r="C21" s="22" t="s">
        <v>36</v>
      </c>
      <c r="D21" s="35" t="s">
        <v>75</v>
      </c>
      <c r="E21" s="31">
        <f>((B21*211)+180000)/100000</f>
        <v>2.0110000000000001</v>
      </c>
      <c r="F21" s="32"/>
      <c r="G21" s="9"/>
      <c r="H21" s="98" t="s">
        <v>240</v>
      </c>
    </row>
    <row r="22" spans="1:8" ht="16.149999999999999" customHeight="1">
      <c r="A22" s="44" t="s">
        <v>37</v>
      </c>
      <c r="B22" s="32">
        <v>12000</v>
      </c>
      <c r="C22" s="78" t="s">
        <v>38</v>
      </c>
      <c r="D22" s="35" t="s">
        <v>75</v>
      </c>
      <c r="E22" s="31">
        <f t="shared" si="1"/>
        <v>25.32</v>
      </c>
      <c r="F22" s="32"/>
      <c r="G22" s="9"/>
      <c r="H22" s="98" t="s">
        <v>241</v>
      </c>
    </row>
    <row r="23" spans="1:8" ht="16.149999999999999" customHeight="1">
      <c r="A23" s="109" t="s">
        <v>39</v>
      </c>
      <c r="B23" s="109"/>
      <c r="C23" s="109"/>
      <c r="D23" s="109"/>
      <c r="E23" s="109"/>
      <c r="F23" s="109"/>
      <c r="G23" s="109"/>
      <c r="H23" s="109"/>
    </row>
    <row r="24" spans="1:8" ht="16.149999999999999" customHeight="1">
      <c r="A24" s="36" t="s">
        <v>40</v>
      </c>
      <c r="B24" s="33">
        <v>200</v>
      </c>
      <c r="C24" s="22" t="s">
        <v>41</v>
      </c>
      <c r="D24" s="35" t="s">
        <v>75</v>
      </c>
      <c r="E24" s="31">
        <f>((B24*211)+500000)/100000</f>
        <v>5.4219999999999997</v>
      </c>
      <c r="F24" s="29"/>
      <c r="G24" s="29"/>
      <c r="H24" s="87" t="s">
        <v>242</v>
      </c>
    </row>
    <row r="25" spans="1:8" ht="16.149999999999999" customHeight="1">
      <c r="A25" s="116" t="s">
        <v>42</v>
      </c>
      <c r="B25" s="33">
        <v>1000</v>
      </c>
      <c r="C25" s="49" t="s">
        <v>98</v>
      </c>
      <c r="D25" s="35" t="s">
        <v>75</v>
      </c>
      <c r="E25" s="31">
        <f>((B25*211)+500000)/100000</f>
        <v>7.11</v>
      </c>
      <c r="F25" s="29"/>
      <c r="G25" s="29"/>
      <c r="H25" s="87" t="s">
        <v>243</v>
      </c>
    </row>
    <row r="26" spans="1:8" ht="16.149999999999999" customHeight="1">
      <c r="A26" s="118"/>
      <c r="B26" s="33">
        <v>300</v>
      </c>
      <c r="C26" s="22" t="s">
        <v>44</v>
      </c>
      <c r="D26" s="35" t="s">
        <v>75</v>
      </c>
      <c r="E26" s="31">
        <f>((B26*211)+300000)/100000</f>
        <v>3.633</v>
      </c>
      <c r="F26" s="29"/>
      <c r="G26" s="29"/>
      <c r="H26" s="87" t="s">
        <v>244</v>
      </c>
    </row>
    <row r="27" spans="1:8" ht="16.149999999999999" customHeight="1">
      <c r="A27" s="118"/>
      <c r="B27" s="33">
        <v>500</v>
      </c>
      <c r="C27" s="49" t="s">
        <v>135</v>
      </c>
      <c r="D27" s="35" t="s">
        <v>75</v>
      </c>
      <c r="E27" s="31">
        <f>((B27*211)+800000)/100000</f>
        <v>9.0549999999999997</v>
      </c>
      <c r="F27" s="29"/>
      <c r="G27" s="29"/>
      <c r="H27" s="93" t="s">
        <v>245</v>
      </c>
    </row>
    <row r="28" spans="1:8" ht="42.6" customHeight="1">
      <c r="A28" s="117"/>
      <c r="B28" s="33">
        <v>200</v>
      </c>
      <c r="C28" s="22" t="s">
        <v>46</v>
      </c>
      <c r="D28" s="35" t="s">
        <v>75</v>
      </c>
      <c r="E28" s="31">
        <f>((B28*211)+700000)/100000</f>
        <v>7.4219999999999997</v>
      </c>
      <c r="F28" s="29"/>
      <c r="G28" s="29"/>
      <c r="H28" s="98" t="s">
        <v>246</v>
      </c>
    </row>
    <row r="29" spans="1:8" ht="16.149999999999999" customHeight="1">
      <c r="A29" s="116" t="s">
        <v>42</v>
      </c>
      <c r="B29" s="33">
        <v>4500</v>
      </c>
      <c r="C29" s="22" t="s">
        <v>47</v>
      </c>
      <c r="D29" s="35" t="s">
        <v>75</v>
      </c>
      <c r="E29" s="31">
        <f t="shared" ref="E29:E31" si="2">B29*211/100000</f>
        <v>9.4949999999999992</v>
      </c>
      <c r="F29" s="29"/>
      <c r="G29" s="29"/>
      <c r="H29" s="98" t="s">
        <v>247</v>
      </c>
    </row>
    <row r="30" spans="1:8" ht="16.149999999999999" customHeight="1">
      <c r="A30" s="117"/>
      <c r="B30" s="33">
        <v>200</v>
      </c>
      <c r="C30" s="22" t="s">
        <v>48</v>
      </c>
      <c r="D30" s="35" t="s">
        <v>75</v>
      </c>
      <c r="E30" s="31">
        <f>((B30*211)+200000)/100000</f>
        <v>2.4220000000000002</v>
      </c>
      <c r="F30" s="29"/>
      <c r="G30" s="29"/>
      <c r="H30" s="98" t="s">
        <v>248</v>
      </c>
    </row>
    <row r="31" spans="1:8" ht="27.6" customHeight="1">
      <c r="A31" s="44" t="s">
        <v>49</v>
      </c>
      <c r="B31" s="33">
        <v>200</v>
      </c>
      <c r="C31" s="16" t="s">
        <v>50</v>
      </c>
      <c r="D31" s="35" t="s">
        <v>75</v>
      </c>
      <c r="E31" s="31">
        <f t="shared" si="2"/>
        <v>0.42199999999999999</v>
      </c>
      <c r="F31" s="29"/>
      <c r="G31" s="29"/>
      <c r="H31" s="98" t="s">
        <v>249</v>
      </c>
    </row>
    <row r="32" spans="1:8" ht="27.6" customHeight="1">
      <c r="A32" s="110" t="s">
        <v>51</v>
      </c>
      <c r="B32" s="33">
        <v>200</v>
      </c>
      <c r="C32" s="21" t="s">
        <v>52</v>
      </c>
      <c r="D32" s="35" t="s">
        <v>75</v>
      </c>
      <c r="E32" s="31">
        <f>((B32*211)+600000.67)/100000</f>
        <v>6.4220067000000007</v>
      </c>
      <c r="F32" s="29"/>
      <c r="G32" s="29"/>
      <c r="H32" s="98" t="s">
        <v>250</v>
      </c>
    </row>
    <row r="33" spans="1:11" ht="16.149999999999999" customHeight="1">
      <c r="A33" s="110"/>
      <c r="B33" s="33">
        <v>200</v>
      </c>
      <c r="C33" s="21" t="s">
        <v>53</v>
      </c>
      <c r="D33" s="35" t="s">
        <v>75</v>
      </c>
      <c r="E33" s="31">
        <f>((B33*211)+675000)/100000</f>
        <v>7.1719999999999997</v>
      </c>
      <c r="F33" s="29"/>
      <c r="G33" s="29"/>
      <c r="H33" s="98" t="s">
        <v>251</v>
      </c>
      <c r="K33" s="37"/>
    </row>
    <row r="34" spans="1:11" ht="16.149999999999999" customHeight="1">
      <c r="A34" s="111"/>
      <c r="B34" s="33">
        <v>200</v>
      </c>
      <c r="C34" s="21" t="s">
        <v>54</v>
      </c>
      <c r="D34" s="35" t="s">
        <v>75</v>
      </c>
      <c r="E34" s="31">
        <f>((B34*211)+400000)/100000</f>
        <v>4.4219999999999997</v>
      </c>
      <c r="F34" s="29"/>
      <c r="G34" s="29"/>
      <c r="H34" s="93" t="s">
        <v>252</v>
      </c>
    </row>
    <row r="35" spans="1:11" ht="16.149999999999999" customHeight="1">
      <c r="A35" s="1"/>
      <c r="B35" s="10">
        <f>B34+B33+B32+B31+B30+B29+B28+B27+B26+B25+B24+B22+B21+B20+B19+B18+B17+B15+B14+B13+B12+B11+B10</f>
        <v>46600</v>
      </c>
      <c r="C35" s="1"/>
      <c r="D35" s="1"/>
      <c r="E35" s="26">
        <f>E34+E33+E32+E31+E30+E29+E28+E27+E26+E25+E24+E22+E21+E20+E19+E18+E17+E15+E14+E13+E12+E11+E10</f>
        <v>163.87600669999998</v>
      </c>
      <c r="F35" s="27"/>
      <c r="G35" s="1"/>
      <c r="H35" s="1"/>
    </row>
    <row r="36" spans="1:11" ht="16.149999999999999" customHeight="1">
      <c r="A36" s="1"/>
      <c r="B36" s="11">
        <f>B3*100</f>
        <v>46600</v>
      </c>
      <c r="C36" s="1"/>
      <c r="D36" s="1"/>
      <c r="E36" s="12">
        <f>(E2+E3)/100000</f>
        <v>163.87666666666667</v>
      </c>
      <c r="F36" s="27"/>
      <c r="G36" s="1"/>
      <c r="H36" s="1"/>
    </row>
    <row r="37" spans="1:11" ht="16.149999999999999" customHeight="1">
      <c r="A37" s="13" t="s">
        <v>57</v>
      </c>
      <c r="B37" s="1"/>
      <c r="C37" s="14">
        <f>B36*211/100000</f>
        <v>98.325999999999993</v>
      </c>
      <c r="D37" s="15" t="s">
        <v>58</v>
      </c>
      <c r="E37" s="1"/>
      <c r="F37" s="27"/>
      <c r="G37" s="1"/>
      <c r="H37" s="1"/>
    </row>
    <row r="38" spans="1:11" ht="16.149999999999999" customHeight="1">
      <c r="A38" s="13" t="s">
        <v>59</v>
      </c>
      <c r="B38" s="1"/>
      <c r="C38" s="14">
        <f>C37*2/3</f>
        <v>65.550666666666658</v>
      </c>
      <c r="D38" s="15" t="s">
        <v>58</v>
      </c>
      <c r="E38" s="1"/>
      <c r="F38" s="27"/>
      <c r="G38" s="1"/>
      <c r="H38" s="1"/>
    </row>
    <row r="39" spans="1:11" ht="16.149999999999999" customHeight="1">
      <c r="A39" s="15" t="s">
        <v>60</v>
      </c>
      <c r="B39" s="1"/>
      <c r="C39" s="1"/>
      <c r="D39" s="1"/>
      <c r="E39" s="1"/>
      <c r="F39" s="27"/>
      <c r="G39" s="1"/>
      <c r="H39" s="1"/>
    </row>
    <row r="40" spans="1:11" ht="16.149999999999999" customHeight="1"/>
    <row r="41" spans="1:11" ht="16.149999999999999" customHeight="1"/>
  </sheetData>
  <mergeCells count="17">
    <mergeCell ref="A32:A34"/>
    <mergeCell ref="A16:H16"/>
    <mergeCell ref="A17:A18"/>
    <mergeCell ref="A20:A21"/>
    <mergeCell ref="A23:H23"/>
    <mergeCell ref="A25:A28"/>
    <mergeCell ref="A29:A30"/>
    <mergeCell ref="A11:A12"/>
    <mergeCell ref="F7:F8"/>
    <mergeCell ref="G7:G8"/>
    <mergeCell ref="H7:H8"/>
    <mergeCell ref="A9:H9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K38"/>
  <sheetViews>
    <sheetView workbookViewId="0">
      <selection sqref="A1:H37"/>
    </sheetView>
  </sheetViews>
  <sheetFormatPr defaultRowHeight="15"/>
  <cols>
    <col min="1" max="1" width="24.28515625" customWidth="1"/>
    <col min="3" max="3" width="22.85546875" customWidth="1"/>
    <col min="4" max="4" width="17.28515625" customWidth="1"/>
    <col min="5" max="5" width="17" customWidth="1"/>
    <col min="7" max="7" width="8.42578125" customWidth="1"/>
    <col min="8" max="8" width="22.7109375" customWidth="1"/>
  </cols>
  <sheetData>
    <row r="1" spans="1:8">
      <c r="A1" s="2" t="s">
        <v>79</v>
      </c>
      <c r="B1" s="3"/>
      <c r="C1" s="4"/>
      <c r="D1" s="4" t="s">
        <v>0</v>
      </c>
      <c r="E1" s="4"/>
      <c r="F1" s="3"/>
      <c r="G1" s="3"/>
      <c r="H1" s="19"/>
    </row>
    <row r="2" spans="1:8">
      <c r="A2" s="5"/>
      <c r="B2" s="3"/>
      <c r="C2" s="6"/>
      <c r="D2" s="6" t="s">
        <v>1</v>
      </c>
      <c r="E2" s="7">
        <f>B3*211*100</f>
        <v>9748200</v>
      </c>
      <c r="F2" s="3"/>
      <c r="G2" s="3"/>
      <c r="H2" s="19"/>
    </row>
    <row r="3" spans="1:8">
      <c r="A3" s="2" t="s">
        <v>2</v>
      </c>
      <c r="B3" s="3">
        <v>462</v>
      </c>
      <c r="C3" s="6"/>
      <c r="D3" s="6" t="s">
        <v>3</v>
      </c>
      <c r="E3" s="8">
        <f>E2*2/3</f>
        <v>6498800</v>
      </c>
      <c r="F3" s="3"/>
      <c r="G3" s="3"/>
      <c r="H3" s="19"/>
    </row>
    <row r="4" spans="1:8">
      <c r="A4" s="17"/>
      <c r="B4" s="18"/>
      <c r="C4" s="6"/>
      <c r="D4" s="6" t="s">
        <v>4</v>
      </c>
      <c r="E4" s="8">
        <f>SUM(E2:E3)</f>
        <v>16247000</v>
      </c>
      <c r="F4" s="3"/>
      <c r="G4" s="3"/>
      <c r="H4" s="19"/>
    </row>
    <row r="5" spans="1:8">
      <c r="A5" s="17"/>
      <c r="B5" s="18"/>
      <c r="C5" s="6"/>
      <c r="D5" s="6" t="s">
        <v>5</v>
      </c>
      <c r="E5" s="7">
        <f>E4*0.06</f>
        <v>974820</v>
      </c>
      <c r="F5" s="3"/>
      <c r="G5" s="3"/>
      <c r="H5" s="19"/>
    </row>
    <row r="6" spans="1:8">
      <c r="A6" s="17"/>
      <c r="B6" s="18"/>
      <c r="C6" s="6"/>
      <c r="D6" s="6" t="s">
        <v>6</v>
      </c>
      <c r="E6" s="34">
        <f>E5+E4</f>
        <v>17221820</v>
      </c>
      <c r="F6" s="3"/>
      <c r="G6" s="3"/>
      <c r="H6" s="19"/>
    </row>
    <row r="7" spans="1:8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8">
      <c r="A8" s="121"/>
      <c r="B8" s="122"/>
      <c r="C8" s="124"/>
      <c r="D8" s="126"/>
      <c r="E8" s="128"/>
      <c r="F8" s="128"/>
      <c r="G8" s="119"/>
      <c r="H8" s="120"/>
    </row>
    <row r="9" spans="1:8">
      <c r="A9" s="113" t="s">
        <v>15</v>
      </c>
      <c r="B9" s="113"/>
      <c r="C9" s="113"/>
      <c r="D9" s="113"/>
      <c r="E9" s="113"/>
      <c r="F9" s="113"/>
      <c r="G9" s="113"/>
      <c r="H9" s="113"/>
    </row>
    <row r="10" spans="1:8" ht="29.45" customHeight="1">
      <c r="A10" s="39" t="s">
        <v>16</v>
      </c>
      <c r="B10" s="32">
        <v>5500</v>
      </c>
      <c r="C10" s="21" t="s">
        <v>17</v>
      </c>
      <c r="D10" s="35" t="s">
        <v>77</v>
      </c>
      <c r="E10" s="31">
        <f>B10*211/100000</f>
        <v>11.605</v>
      </c>
      <c r="F10" s="32"/>
      <c r="G10" s="9"/>
      <c r="H10" s="98" t="s">
        <v>253</v>
      </c>
    </row>
    <row r="11" spans="1:8" ht="16.149999999999999" customHeight="1">
      <c r="A11" s="46" t="s">
        <v>19</v>
      </c>
      <c r="B11" s="32">
        <v>200</v>
      </c>
      <c r="C11" s="23" t="s">
        <v>21</v>
      </c>
      <c r="D11" s="35" t="s">
        <v>77</v>
      </c>
      <c r="E11" s="31">
        <f>((B11*211)+500000)/100000</f>
        <v>5.4219999999999997</v>
      </c>
      <c r="F11" s="32"/>
      <c r="G11" s="9"/>
      <c r="H11" s="98" t="s">
        <v>254</v>
      </c>
    </row>
    <row r="12" spans="1:8" ht="16.149999999999999" customHeight="1">
      <c r="A12" s="39" t="s">
        <v>24</v>
      </c>
      <c r="B12" s="32">
        <v>200</v>
      </c>
      <c r="C12" s="22" t="s">
        <v>25</v>
      </c>
      <c r="D12" s="35" t="s">
        <v>77</v>
      </c>
      <c r="E12" s="31">
        <f>((B12*211)+250000)/100000</f>
        <v>2.9220000000000002</v>
      </c>
      <c r="F12" s="32"/>
      <c r="G12" s="9"/>
      <c r="H12" s="98" t="s">
        <v>255</v>
      </c>
    </row>
    <row r="13" spans="1:8" ht="16.149999999999999" customHeight="1">
      <c r="A13" s="41" t="s">
        <v>26</v>
      </c>
      <c r="B13" s="32">
        <v>8200</v>
      </c>
      <c r="C13" s="25" t="s">
        <v>27</v>
      </c>
      <c r="D13" s="35" t="s">
        <v>77</v>
      </c>
      <c r="E13" s="31">
        <f t="shared" ref="E13" si="0">B13*211/100000</f>
        <v>17.302</v>
      </c>
      <c r="F13" s="32"/>
      <c r="G13" s="9"/>
      <c r="H13" s="87" t="s">
        <v>256</v>
      </c>
    </row>
    <row r="14" spans="1:8" ht="16.149999999999999" customHeight="1">
      <c r="A14" s="112" t="s">
        <v>28</v>
      </c>
      <c r="B14" s="112"/>
      <c r="C14" s="112"/>
      <c r="D14" s="112"/>
      <c r="E14" s="112"/>
      <c r="F14" s="112"/>
      <c r="G14" s="112"/>
      <c r="H14" s="112"/>
    </row>
    <row r="15" spans="1:8" ht="16.149999999999999" customHeight="1">
      <c r="A15" s="116" t="s">
        <v>29</v>
      </c>
      <c r="B15" s="30">
        <v>1000</v>
      </c>
      <c r="C15" s="22" t="s">
        <v>18</v>
      </c>
      <c r="D15" s="35" t="s">
        <v>77</v>
      </c>
      <c r="E15" s="31">
        <f t="shared" ref="E15:E20" si="1">B15*211/100000</f>
        <v>2.11</v>
      </c>
      <c r="F15" s="30"/>
      <c r="G15" s="30"/>
      <c r="H15" s="87" t="s">
        <v>257</v>
      </c>
    </row>
    <row r="16" spans="1:8" ht="16.149999999999999" customHeight="1">
      <c r="A16" s="117"/>
      <c r="B16" s="30">
        <v>11000</v>
      </c>
      <c r="C16" s="23" t="s">
        <v>26</v>
      </c>
      <c r="D16" s="35" t="s">
        <v>77</v>
      </c>
      <c r="E16" s="31">
        <f t="shared" si="1"/>
        <v>23.21</v>
      </c>
      <c r="F16" s="30"/>
      <c r="G16" s="30"/>
      <c r="H16" s="87" t="s">
        <v>258</v>
      </c>
    </row>
    <row r="17" spans="1:8" ht="21.6" customHeight="1">
      <c r="A17" s="42" t="s">
        <v>30</v>
      </c>
      <c r="B17" s="30">
        <v>100</v>
      </c>
      <c r="C17" s="22" t="s">
        <v>31</v>
      </c>
      <c r="D17" s="35" t="s">
        <v>77</v>
      </c>
      <c r="E17" s="31">
        <f>((B17*211)+100000)/100000</f>
        <v>1.2110000000000001</v>
      </c>
      <c r="F17" s="30"/>
      <c r="G17" s="30"/>
      <c r="H17" s="92" t="s">
        <v>259</v>
      </c>
    </row>
    <row r="18" spans="1:8" ht="16.149999999999999" customHeight="1">
      <c r="A18" s="116" t="s">
        <v>34</v>
      </c>
      <c r="B18" s="30">
        <v>200</v>
      </c>
      <c r="C18" s="22" t="s">
        <v>35</v>
      </c>
      <c r="D18" s="35" t="s">
        <v>77</v>
      </c>
      <c r="E18" s="31">
        <f>((B18*211)+450000)/100000</f>
        <v>4.9219999999999997</v>
      </c>
      <c r="F18" s="30"/>
      <c r="G18" s="30"/>
      <c r="H18" s="98" t="s">
        <v>261</v>
      </c>
    </row>
    <row r="19" spans="1:8" ht="16.149999999999999" customHeight="1">
      <c r="A19" s="117"/>
      <c r="B19" s="32">
        <v>100</v>
      </c>
      <c r="C19" s="22" t="s">
        <v>36</v>
      </c>
      <c r="D19" s="35" t="s">
        <v>77</v>
      </c>
      <c r="E19" s="31">
        <f>((B19*211)+180000)/100000</f>
        <v>2.0110000000000001</v>
      </c>
      <c r="F19" s="32"/>
      <c r="G19" s="9"/>
      <c r="H19" s="98" t="s">
        <v>260</v>
      </c>
    </row>
    <row r="20" spans="1:8" ht="16.149999999999999" customHeight="1">
      <c r="A20" s="44" t="s">
        <v>37</v>
      </c>
      <c r="B20" s="32">
        <v>12700</v>
      </c>
      <c r="C20" s="22" t="s">
        <v>38</v>
      </c>
      <c r="D20" s="35" t="s">
        <v>77</v>
      </c>
      <c r="E20" s="31">
        <f t="shared" si="1"/>
        <v>26.797000000000001</v>
      </c>
      <c r="F20" s="32"/>
      <c r="G20" s="9"/>
      <c r="H20" s="87" t="s">
        <v>262</v>
      </c>
    </row>
    <row r="21" spans="1:8" ht="16.149999999999999" customHeight="1">
      <c r="A21" s="109" t="s">
        <v>39</v>
      </c>
      <c r="B21" s="109"/>
      <c r="C21" s="109"/>
      <c r="D21" s="109"/>
      <c r="E21" s="109"/>
      <c r="F21" s="109"/>
      <c r="G21" s="109"/>
      <c r="H21" s="109"/>
    </row>
    <row r="22" spans="1:8" ht="16.149999999999999" customHeight="1">
      <c r="A22" s="36" t="s">
        <v>40</v>
      </c>
      <c r="B22" s="33">
        <v>200</v>
      </c>
      <c r="C22" s="49" t="s">
        <v>82</v>
      </c>
      <c r="D22" s="35" t="s">
        <v>77</v>
      </c>
      <c r="E22" s="31">
        <f>((B22*211)+500000)/100000</f>
        <v>5.4219999999999997</v>
      </c>
      <c r="F22" s="29"/>
      <c r="G22" s="29"/>
      <c r="H22" s="98" t="s">
        <v>263</v>
      </c>
    </row>
    <row r="23" spans="1:8" ht="16.149999999999999" customHeight="1">
      <c r="A23" s="116" t="s">
        <v>42</v>
      </c>
      <c r="B23" s="33">
        <v>500</v>
      </c>
      <c r="C23" s="49" t="s">
        <v>98</v>
      </c>
      <c r="D23" s="35" t="s">
        <v>77</v>
      </c>
      <c r="E23" s="31">
        <f>((B23*211)+500000)/100000</f>
        <v>6.0549999999999997</v>
      </c>
      <c r="F23" s="29"/>
      <c r="G23" s="29"/>
      <c r="H23" s="98" t="s">
        <v>264</v>
      </c>
    </row>
    <row r="24" spans="1:8" ht="16.149999999999999" customHeight="1">
      <c r="A24" s="118"/>
      <c r="B24" s="86">
        <v>300</v>
      </c>
      <c r="C24" s="49" t="s">
        <v>81</v>
      </c>
      <c r="D24" s="35" t="s">
        <v>77</v>
      </c>
      <c r="E24" s="80">
        <f>((B24*211)+400000)/100000</f>
        <v>4.633</v>
      </c>
      <c r="F24" s="85"/>
      <c r="G24" s="85"/>
      <c r="H24" s="98" t="s">
        <v>265</v>
      </c>
    </row>
    <row r="25" spans="1:8" ht="16.149999999999999" customHeight="1">
      <c r="A25" s="118"/>
      <c r="B25" s="33">
        <v>500</v>
      </c>
      <c r="C25" s="49" t="s">
        <v>78</v>
      </c>
      <c r="D25" s="35" t="s">
        <v>77</v>
      </c>
      <c r="E25" s="31">
        <f>((B25*211)+700000)/100000</f>
        <v>8.0549999999999997</v>
      </c>
      <c r="F25" s="29"/>
      <c r="G25" s="29"/>
      <c r="H25" s="87" t="s">
        <v>266</v>
      </c>
    </row>
    <row r="26" spans="1:8" ht="16.149999999999999" customHeight="1">
      <c r="A26" s="118"/>
      <c r="B26" s="33">
        <v>500</v>
      </c>
      <c r="C26" s="49" t="s">
        <v>135</v>
      </c>
      <c r="D26" s="35" t="s">
        <v>77</v>
      </c>
      <c r="E26" s="31">
        <f>((B26*211)+800000)/100000</f>
        <v>9.0549999999999997</v>
      </c>
      <c r="F26" s="29"/>
      <c r="G26" s="29"/>
      <c r="H26" s="87" t="s">
        <v>267</v>
      </c>
    </row>
    <row r="27" spans="1:8" ht="28.9" customHeight="1">
      <c r="A27" s="42" t="s">
        <v>42</v>
      </c>
      <c r="B27" s="33">
        <v>4000</v>
      </c>
      <c r="C27" s="22" t="s">
        <v>47</v>
      </c>
      <c r="D27" s="35" t="s">
        <v>77</v>
      </c>
      <c r="E27" s="31">
        <f t="shared" ref="E27:E28" si="2">B27*211/100000</f>
        <v>8.44</v>
      </c>
      <c r="F27" s="29"/>
      <c r="G27" s="29"/>
      <c r="H27" s="93" t="s">
        <v>268</v>
      </c>
    </row>
    <row r="28" spans="1:8" ht="30">
      <c r="A28" s="44" t="s">
        <v>49</v>
      </c>
      <c r="B28" s="33">
        <v>200</v>
      </c>
      <c r="C28" s="16" t="s">
        <v>50</v>
      </c>
      <c r="D28" s="35" t="s">
        <v>77</v>
      </c>
      <c r="E28" s="31">
        <f t="shared" si="2"/>
        <v>0.42199999999999999</v>
      </c>
      <c r="F28" s="29"/>
      <c r="G28" s="29"/>
      <c r="H28" s="87" t="s">
        <v>269</v>
      </c>
    </row>
    <row r="29" spans="1:8" ht="28.9" customHeight="1">
      <c r="A29" s="110" t="s">
        <v>51</v>
      </c>
      <c r="B29" s="33">
        <v>200</v>
      </c>
      <c r="C29" s="21" t="s">
        <v>52</v>
      </c>
      <c r="D29" s="35" t="s">
        <v>77</v>
      </c>
      <c r="E29" s="31">
        <f>((B29*211)+519000.67)/100000</f>
        <v>5.6120066999999993</v>
      </c>
      <c r="F29" s="29"/>
      <c r="G29" s="29"/>
      <c r="H29" s="98" t="s">
        <v>270</v>
      </c>
    </row>
    <row r="30" spans="1:8" ht="16.149999999999999" customHeight="1">
      <c r="A30" s="110"/>
      <c r="B30" s="33">
        <v>200</v>
      </c>
      <c r="C30" s="21" t="s">
        <v>53</v>
      </c>
      <c r="D30" s="35" t="s">
        <v>77</v>
      </c>
      <c r="E30" s="31">
        <f>((B30*211)+500000)/100000</f>
        <v>5.4219999999999997</v>
      </c>
      <c r="F30" s="29"/>
      <c r="G30" s="29"/>
      <c r="H30" s="92" t="s">
        <v>272</v>
      </c>
    </row>
    <row r="31" spans="1:8" ht="16.149999999999999" customHeight="1">
      <c r="A31" s="111"/>
      <c r="B31" s="33">
        <v>200</v>
      </c>
      <c r="C31" s="21" t="s">
        <v>54</v>
      </c>
      <c r="D31" s="35" t="s">
        <v>77</v>
      </c>
      <c r="E31" s="31">
        <f>((B31*211)+600000)/100000</f>
        <v>6.4219999999999997</v>
      </c>
      <c r="F31" s="29"/>
      <c r="G31" s="29"/>
      <c r="H31" s="87" t="s">
        <v>271</v>
      </c>
    </row>
    <row r="32" spans="1:8" ht="16.149999999999999" customHeight="1">
      <c r="A32" s="72" t="s">
        <v>55</v>
      </c>
      <c r="B32" s="85">
        <v>200</v>
      </c>
      <c r="C32" s="78" t="s">
        <v>56</v>
      </c>
      <c r="D32" s="35" t="s">
        <v>77</v>
      </c>
      <c r="E32" s="80">
        <f>((B32*211)+500000)/100000</f>
        <v>5.4219999999999997</v>
      </c>
      <c r="F32" s="85"/>
      <c r="G32" s="85"/>
      <c r="H32" s="93" t="s">
        <v>273</v>
      </c>
    </row>
    <row r="33" spans="1:11" ht="16.149999999999999" customHeight="1">
      <c r="A33" s="1"/>
      <c r="B33" s="10">
        <f>B31+B30+B29+B28+B27+B26+B23+B22+B20+B19+B18+B17+B16+B15+B13+B12+B11+B10+B25+B32+B24</f>
        <v>46200</v>
      </c>
      <c r="C33" s="1"/>
      <c r="D33" s="1"/>
      <c r="E33" s="26">
        <f>E31+E30+E29+E28+E27+E26+E23+E22+E20+E19+E18+E17+E16+E15+E13+E12+E11+E10+E25+E32+E24</f>
        <v>162.47200669999998</v>
      </c>
      <c r="F33" s="27"/>
      <c r="G33" s="1"/>
      <c r="H33" s="1"/>
    </row>
    <row r="34" spans="1:11" ht="16.149999999999999" customHeight="1">
      <c r="A34" s="1"/>
      <c r="B34" s="11">
        <f>B3*100</f>
        <v>46200</v>
      </c>
      <c r="C34" s="1"/>
      <c r="D34" s="1"/>
      <c r="E34" s="12">
        <f>(E2+E3)/100000</f>
        <v>162.47</v>
      </c>
      <c r="F34" s="27"/>
      <c r="G34" s="1"/>
      <c r="H34" s="1"/>
    </row>
    <row r="35" spans="1:11" ht="16.149999999999999" customHeight="1">
      <c r="A35" s="13" t="s">
        <v>57</v>
      </c>
      <c r="B35" s="1"/>
      <c r="C35" s="14">
        <f>B34*211/100000</f>
        <v>97.481999999999999</v>
      </c>
      <c r="D35" s="15" t="s">
        <v>58</v>
      </c>
      <c r="E35" s="1"/>
      <c r="F35" s="27"/>
      <c r="G35" s="1"/>
      <c r="H35" s="1"/>
      <c r="K35" s="37"/>
    </row>
    <row r="36" spans="1:11" ht="16.149999999999999" customHeight="1">
      <c r="A36" s="13" t="s">
        <v>59</v>
      </c>
      <c r="B36" s="1"/>
      <c r="C36" s="14">
        <f>C35*2/3</f>
        <v>64.988</v>
      </c>
      <c r="D36" s="15" t="s">
        <v>58</v>
      </c>
      <c r="E36" s="1"/>
      <c r="F36" s="27"/>
      <c r="G36" s="1"/>
      <c r="H36" s="1"/>
    </row>
    <row r="37" spans="1:11" ht="16.149999999999999" customHeight="1">
      <c r="A37" s="15" t="s">
        <v>60</v>
      </c>
      <c r="B37" s="1"/>
      <c r="C37" s="1"/>
      <c r="D37" s="1"/>
      <c r="E37" s="1"/>
      <c r="F37" s="27"/>
      <c r="G37" s="1"/>
      <c r="H37" s="1"/>
    </row>
    <row r="38" spans="1:11" ht="16.149999999999999" customHeight="1"/>
  </sheetData>
  <mergeCells count="15">
    <mergeCell ref="A18:A19"/>
    <mergeCell ref="A21:H21"/>
    <mergeCell ref="A23:A26"/>
    <mergeCell ref="A29:A31"/>
    <mergeCell ref="G7:G8"/>
    <mergeCell ref="H7:H8"/>
    <mergeCell ref="A9:H9"/>
    <mergeCell ref="A14:H14"/>
    <mergeCell ref="A15:A16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L36"/>
  <sheetViews>
    <sheetView workbookViewId="0">
      <selection sqref="A1:H35"/>
    </sheetView>
  </sheetViews>
  <sheetFormatPr defaultRowHeight="15"/>
  <cols>
    <col min="1" max="1" width="23" customWidth="1"/>
    <col min="3" max="3" width="21.5703125" customWidth="1"/>
    <col min="4" max="4" width="20.28515625" customWidth="1"/>
    <col min="5" max="5" width="17.140625" customWidth="1"/>
    <col min="8" max="8" width="23.7109375" bestFit="1" customWidth="1"/>
  </cols>
  <sheetData>
    <row r="1" spans="1:8">
      <c r="A1" s="2" t="s">
        <v>80</v>
      </c>
      <c r="B1" s="3"/>
      <c r="C1" s="4"/>
      <c r="D1" s="4" t="s">
        <v>0</v>
      </c>
      <c r="E1" s="4"/>
      <c r="F1" s="3"/>
      <c r="G1" s="3"/>
      <c r="H1" s="19"/>
    </row>
    <row r="2" spans="1:8">
      <c r="A2" s="5"/>
      <c r="B2" s="3"/>
      <c r="C2" s="6"/>
      <c r="D2" s="6" t="s">
        <v>1</v>
      </c>
      <c r="E2" s="7">
        <f>B3*211*100</f>
        <v>6519900</v>
      </c>
      <c r="F2" s="3"/>
      <c r="G2" s="3"/>
      <c r="H2" s="19"/>
    </row>
    <row r="3" spans="1:8">
      <c r="A3" s="2" t="s">
        <v>2</v>
      </c>
      <c r="B3" s="3">
        <v>309</v>
      </c>
      <c r="C3" s="6"/>
      <c r="D3" s="6" t="s">
        <v>3</v>
      </c>
      <c r="E3" s="8">
        <f>E2*2/3</f>
        <v>4346600</v>
      </c>
      <c r="F3" s="3"/>
      <c r="G3" s="3"/>
      <c r="H3" s="19"/>
    </row>
    <row r="4" spans="1:8">
      <c r="A4" s="17"/>
      <c r="B4" s="18"/>
      <c r="C4" s="6"/>
      <c r="D4" s="6" t="s">
        <v>4</v>
      </c>
      <c r="E4" s="8">
        <f>SUM(E2:E3)</f>
        <v>10866500</v>
      </c>
      <c r="F4" s="3"/>
      <c r="G4" s="3"/>
      <c r="H4" s="19"/>
    </row>
    <row r="5" spans="1:8">
      <c r="A5" s="17"/>
      <c r="B5" s="18"/>
      <c r="C5" s="6"/>
      <c r="D5" s="6" t="s">
        <v>5</v>
      </c>
      <c r="E5" s="7">
        <f>E4*0.06</f>
        <v>651990</v>
      </c>
      <c r="F5" s="3"/>
      <c r="G5" s="3"/>
      <c r="H5" s="19"/>
    </row>
    <row r="6" spans="1:8">
      <c r="A6" s="17"/>
      <c r="B6" s="18"/>
      <c r="C6" s="6"/>
      <c r="D6" s="6" t="s">
        <v>6</v>
      </c>
      <c r="E6" s="34">
        <f>E5+E4</f>
        <v>11518490</v>
      </c>
      <c r="F6" s="3"/>
      <c r="G6" s="3"/>
      <c r="H6" s="19"/>
    </row>
    <row r="7" spans="1:8">
      <c r="A7" s="121" t="s">
        <v>7</v>
      </c>
      <c r="B7" s="122" t="s">
        <v>8</v>
      </c>
      <c r="C7" s="123" t="s">
        <v>9</v>
      </c>
      <c r="D7" s="125" t="s">
        <v>10</v>
      </c>
      <c r="E7" s="127" t="s">
        <v>11</v>
      </c>
      <c r="F7" s="127" t="s">
        <v>12</v>
      </c>
      <c r="G7" s="119" t="s">
        <v>13</v>
      </c>
      <c r="H7" s="120" t="s">
        <v>14</v>
      </c>
    </row>
    <row r="8" spans="1:8">
      <c r="A8" s="121"/>
      <c r="B8" s="122"/>
      <c r="C8" s="124"/>
      <c r="D8" s="126"/>
      <c r="E8" s="128"/>
      <c r="F8" s="128"/>
      <c r="G8" s="119"/>
      <c r="H8" s="120"/>
    </row>
    <row r="9" spans="1:8">
      <c r="A9" s="113" t="s">
        <v>15</v>
      </c>
      <c r="B9" s="113"/>
      <c r="C9" s="113"/>
      <c r="D9" s="113"/>
      <c r="E9" s="113"/>
      <c r="F9" s="113"/>
      <c r="G9" s="113"/>
      <c r="H9" s="113"/>
    </row>
    <row r="10" spans="1:8" ht="30">
      <c r="A10" s="39" t="s">
        <v>16</v>
      </c>
      <c r="B10" s="32">
        <v>5500</v>
      </c>
      <c r="C10" s="21" t="s">
        <v>17</v>
      </c>
      <c r="D10" s="35" t="s">
        <v>83</v>
      </c>
      <c r="E10" s="31">
        <f>B10*211/100000</f>
        <v>11.605</v>
      </c>
      <c r="F10" s="32"/>
      <c r="G10" s="9"/>
      <c r="H10" s="98" t="s">
        <v>274</v>
      </c>
    </row>
    <row r="11" spans="1:8" ht="16.149999999999999" customHeight="1">
      <c r="A11" s="46" t="s">
        <v>19</v>
      </c>
      <c r="B11" s="32">
        <v>100</v>
      </c>
      <c r="C11" s="23" t="s">
        <v>21</v>
      </c>
      <c r="D11" s="35" t="s">
        <v>83</v>
      </c>
      <c r="E11" s="31">
        <f>((B11*211)+500000)/100000</f>
        <v>5.2110000000000003</v>
      </c>
      <c r="F11" s="32"/>
      <c r="G11" s="9"/>
      <c r="H11" s="87" t="s">
        <v>275</v>
      </c>
    </row>
    <row r="12" spans="1:8" ht="16.149999999999999" customHeight="1">
      <c r="A12" s="39" t="s">
        <v>24</v>
      </c>
      <c r="B12" s="32">
        <v>200</v>
      </c>
      <c r="C12" s="22" t="s">
        <v>25</v>
      </c>
      <c r="D12" s="35" t="s">
        <v>83</v>
      </c>
      <c r="E12" s="31">
        <f>((B12*211)+250000)/100000</f>
        <v>2.9220000000000002</v>
      </c>
      <c r="F12" s="32"/>
      <c r="G12" s="9"/>
      <c r="H12" s="93" t="s">
        <v>276</v>
      </c>
    </row>
    <row r="13" spans="1:8" ht="16.149999999999999" customHeight="1">
      <c r="A13" s="41" t="s">
        <v>26</v>
      </c>
      <c r="B13" s="32">
        <v>7000</v>
      </c>
      <c r="C13" s="25" t="s">
        <v>27</v>
      </c>
      <c r="D13" s="35" t="s">
        <v>83</v>
      </c>
      <c r="E13" s="31">
        <f t="shared" ref="E13" si="0">B13*211/100000</f>
        <v>14.77</v>
      </c>
      <c r="F13" s="32"/>
      <c r="G13" s="9"/>
      <c r="H13" s="92" t="s">
        <v>277</v>
      </c>
    </row>
    <row r="14" spans="1:8" ht="16.149999999999999" customHeight="1">
      <c r="A14" s="112" t="s">
        <v>28</v>
      </c>
      <c r="B14" s="112"/>
      <c r="C14" s="112"/>
      <c r="D14" s="112"/>
      <c r="E14" s="112"/>
      <c r="F14" s="112"/>
      <c r="G14" s="112"/>
      <c r="H14" s="112"/>
    </row>
    <row r="15" spans="1:8" ht="16.149999999999999" customHeight="1">
      <c r="A15" s="116" t="s">
        <v>29</v>
      </c>
      <c r="B15" s="30">
        <v>500</v>
      </c>
      <c r="C15" s="22" t="s">
        <v>18</v>
      </c>
      <c r="D15" s="35" t="s">
        <v>83</v>
      </c>
      <c r="E15" s="31">
        <f t="shared" ref="E15:E20" si="1">B15*211/100000</f>
        <v>1.0549999999999999</v>
      </c>
      <c r="F15" s="30"/>
      <c r="G15" s="30"/>
      <c r="H15" s="101" t="s">
        <v>278</v>
      </c>
    </row>
    <row r="16" spans="1:8" ht="16.149999999999999" customHeight="1">
      <c r="A16" s="117"/>
      <c r="B16" s="30">
        <v>7000</v>
      </c>
      <c r="C16" s="23" t="s">
        <v>26</v>
      </c>
      <c r="D16" s="35" t="s">
        <v>83</v>
      </c>
      <c r="E16" s="31">
        <f t="shared" si="1"/>
        <v>14.77</v>
      </c>
      <c r="F16" s="30"/>
      <c r="G16" s="30"/>
      <c r="H16" s="100" t="s">
        <v>279</v>
      </c>
    </row>
    <row r="17" spans="1:12" ht="30">
      <c r="A17" s="42" t="s">
        <v>30</v>
      </c>
      <c r="B17" s="30">
        <v>100</v>
      </c>
      <c r="C17" s="22" t="s">
        <v>31</v>
      </c>
      <c r="D17" s="35" t="s">
        <v>83</v>
      </c>
      <c r="E17" s="31">
        <f>((B17*211)+100000)/100000</f>
        <v>1.2110000000000001</v>
      </c>
      <c r="F17" s="30"/>
      <c r="G17" s="30"/>
      <c r="H17" s="100" t="s">
        <v>280</v>
      </c>
    </row>
    <row r="18" spans="1:12" ht="16.149999999999999" customHeight="1">
      <c r="A18" s="116" t="s">
        <v>34</v>
      </c>
      <c r="B18" s="30">
        <v>100</v>
      </c>
      <c r="C18" s="22" t="s">
        <v>35</v>
      </c>
      <c r="D18" s="35" t="s">
        <v>83</v>
      </c>
      <c r="E18" s="31">
        <f>((B18*211)+450000)/100000</f>
        <v>4.7110000000000003</v>
      </c>
      <c r="F18" s="30"/>
      <c r="G18" s="30"/>
      <c r="H18" s="99" t="s">
        <v>281</v>
      </c>
    </row>
    <row r="19" spans="1:12" ht="16.149999999999999" customHeight="1">
      <c r="A19" s="117"/>
      <c r="B19" s="32">
        <v>100</v>
      </c>
      <c r="C19" s="22" t="s">
        <v>36</v>
      </c>
      <c r="D19" s="35" t="s">
        <v>83</v>
      </c>
      <c r="E19" s="31">
        <f>((B19*211)+180000)/100000</f>
        <v>2.0110000000000001</v>
      </c>
      <c r="F19" s="32"/>
      <c r="G19" s="9"/>
      <c r="H19" s="99" t="s">
        <v>282</v>
      </c>
    </row>
    <row r="20" spans="1:12" ht="16.149999999999999" customHeight="1">
      <c r="A20" s="44" t="s">
        <v>37</v>
      </c>
      <c r="B20" s="32">
        <v>8000</v>
      </c>
      <c r="C20" s="22" t="s">
        <v>38</v>
      </c>
      <c r="D20" s="35" t="s">
        <v>83</v>
      </c>
      <c r="E20" s="31">
        <f t="shared" si="1"/>
        <v>16.88</v>
      </c>
      <c r="F20" s="32"/>
      <c r="G20" s="9"/>
      <c r="H20" s="100" t="s">
        <v>283</v>
      </c>
    </row>
    <row r="21" spans="1:12" ht="16.149999999999999" customHeight="1">
      <c r="A21" s="109" t="s">
        <v>39</v>
      </c>
      <c r="B21" s="109"/>
      <c r="C21" s="109"/>
      <c r="D21" s="109"/>
      <c r="E21" s="109"/>
      <c r="F21" s="109"/>
      <c r="G21" s="109"/>
      <c r="H21" s="109"/>
    </row>
    <row r="22" spans="1:12" ht="16.149999999999999" customHeight="1">
      <c r="A22" s="36" t="s">
        <v>40</v>
      </c>
      <c r="B22" s="33">
        <v>100</v>
      </c>
      <c r="C22" s="49" t="s">
        <v>85</v>
      </c>
      <c r="D22" s="35" t="s">
        <v>83</v>
      </c>
      <c r="E22" s="31">
        <f>((B22*211)+200000)/100000</f>
        <v>2.2109999999999999</v>
      </c>
      <c r="F22" s="29"/>
      <c r="G22" s="29"/>
      <c r="H22" s="87" t="s">
        <v>284</v>
      </c>
    </row>
    <row r="23" spans="1:12" ht="16.149999999999999" customHeight="1">
      <c r="A23" s="116" t="s">
        <v>42</v>
      </c>
      <c r="B23" s="33">
        <v>100</v>
      </c>
      <c r="C23" s="103" t="s">
        <v>98</v>
      </c>
      <c r="D23" s="35" t="s">
        <v>83</v>
      </c>
      <c r="E23" s="31">
        <f>((B23*211)+500000)/100000</f>
        <v>5.2110000000000003</v>
      </c>
      <c r="F23" s="29"/>
      <c r="G23" s="29"/>
      <c r="H23" s="87" t="s">
        <v>285</v>
      </c>
    </row>
    <row r="24" spans="1:12" ht="16.149999999999999" customHeight="1">
      <c r="A24" s="118"/>
      <c r="B24" s="33">
        <v>100</v>
      </c>
      <c r="C24" s="49" t="s">
        <v>78</v>
      </c>
      <c r="D24" s="35" t="s">
        <v>83</v>
      </c>
      <c r="E24" s="31">
        <f>((B24*211)+400000)/100000</f>
        <v>4.2110000000000003</v>
      </c>
      <c r="F24" s="29"/>
      <c r="G24" s="29"/>
      <c r="H24" s="92" t="s">
        <v>286</v>
      </c>
    </row>
    <row r="25" spans="1:12" ht="16.149999999999999" customHeight="1">
      <c r="A25" s="118"/>
      <c r="B25" s="33">
        <v>100</v>
      </c>
      <c r="C25" s="49" t="s">
        <v>135</v>
      </c>
      <c r="D25" s="35" t="s">
        <v>83</v>
      </c>
      <c r="E25" s="31">
        <f>((B25*211)+500000)/100000</f>
        <v>5.2110000000000003</v>
      </c>
      <c r="F25" s="29"/>
      <c r="G25" s="29"/>
      <c r="H25" s="98" t="s">
        <v>287</v>
      </c>
    </row>
    <row r="26" spans="1:12" ht="30">
      <c r="A26" s="42" t="s">
        <v>42</v>
      </c>
      <c r="B26" s="33">
        <v>1500</v>
      </c>
      <c r="C26" s="22" t="s">
        <v>47</v>
      </c>
      <c r="D26" s="35" t="s">
        <v>83</v>
      </c>
      <c r="E26" s="31">
        <f t="shared" ref="E26:E27" si="2">B26*211/100000</f>
        <v>3.165</v>
      </c>
      <c r="F26" s="29"/>
      <c r="G26" s="29"/>
      <c r="H26" s="98" t="s">
        <v>288</v>
      </c>
    </row>
    <row r="27" spans="1:12" ht="30">
      <c r="A27" s="44" t="s">
        <v>49</v>
      </c>
      <c r="B27" s="33">
        <v>100</v>
      </c>
      <c r="C27" s="16" t="s">
        <v>50</v>
      </c>
      <c r="D27" s="35" t="s">
        <v>83</v>
      </c>
      <c r="E27" s="31">
        <f t="shared" si="2"/>
        <v>0.21099999999999999</v>
      </c>
      <c r="F27" s="29"/>
      <c r="G27" s="29"/>
      <c r="H27" s="87" t="s">
        <v>289</v>
      </c>
    </row>
    <row r="28" spans="1:12" ht="30">
      <c r="A28" s="110" t="s">
        <v>51</v>
      </c>
      <c r="B28" s="33">
        <v>100</v>
      </c>
      <c r="C28" s="21" t="s">
        <v>52</v>
      </c>
      <c r="D28" s="35" t="s">
        <v>83</v>
      </c>
      <c r="E28" s="31">
        <f>((B28*211)+519000.67)/100000</f>
        <v>5.4010066999999991</v>
      </c>
      <c r="F28" s="29"/>
      <c r="G28" s="29"/>
      <c r="H28" s="98" t="s">
        <v>290</v>
      </c>
    </row>
    <row r="29" spans="1:12" ht="16.149999999999999" customHeight="1">
      <c r="A29" s="110"/>
      <c r="B29" s="33">
        <v>100</v>
      </c>
      <c r="C29" s="21" t="s">
        <v>53</v>
      </c>
      <c r="D29" s="35" t="s">
        <v>83</v>
      </c>
      <c r="E29" s="31">
        <f>((B29*211)+548000)/100000</f>
        <v>5.6909999999999998</v>
      </c>
      <c r="F29" s="29"/>
      <c r="G29" s="29"/>
      <c r="H29" s="98" t="s">
        <v>291</v>
      </c>
    </row>
    <row r="30" spans="1:12" ht="16.149999999999999" customHeight="1">
      <c r="A30" s="111"/>
      <c r="B30" s="33">
        <v>100</v>
      </c>
      <c r="C30" s="21" t="s">
        <v>54</v>
      </c>
      <c r="D30" s="35" t="s">
        <v>83</v>
      </c>
      <c r="E30" s="31">
        <f>((B30*211)+200000)/100000</f>
        <v>2.2109999999999999</v>
      </c>
      <c r="F30" s="29"/>
      <c r="G30" s="29"/>
      <c r="H30" s="98" t="s">
        <v>292</v>
      </c>
      <c r="L30" s="37"/>
    </row>
    <row r="31" spans="1:12" ht="16.149999999999999" customHeight="1">
      <c r="A31" s="1"/>
      <c r="B31" s="10">
        <f>B30+B29+B28+B27+B26+B25+B23+B22+B20+B19+B18+B17+B16+B15+B13+B12+B11+B10+B24</f>
        <v>30900</v>
      </c>
      <c r="C31" s="1"/>
      <c r="D31" s="1"/>
      <c r="E31" s="26">
        <f>E30+E29+E28+E27+E26+E25+E23+E22+E20+E19+E18+E17+E16+E15+E13+E12+E11+E10+E24</f>
        <v>108.6690067</v>
      </c>
      <c r="F31" s="27"/>
      <c r="G31" s="1"/>
      <c r="H31" s="1"/>
    </row>
    <row r="32" spans="1:12" ht="16.149999999999999" customHeight="1">
      <c r="A32" s="1"/>
      <c r="B32" s="11">
        <f>B3*100</f>
        <v>30900</v>
      </c>
      <c r="C32" s="1"/>
      <c r="D32" s="1"/>
      <c r="E32" s="12">
        <f>(E2+E3)/100000</f>
        <v>108.66500000000001</v>
      </c>
      <c r="F32" s="27"/>
      <c r="G32" s="1"/>
      <c r="H32" s="1"/>
    </row>
    <row r="33" spans="1:8" ht="16.149999999999999" customHeight="1">
      <c r="A33" s="13" t="s">
        <v>57</v>
      </c>
      <c r="B33" s="1"/>
      <c r="C33" s="14">
        <f>B32*211/100000</f>
        <v>65.198999999999998</v>
      </c>
      <c r="D33" s="15" t="s">
        <v>58</v>
      </c>
      <c r="E33" s="1"/>
      <c r="F33" s="27"/>
      <c r="G33" s="1"/>
      <c r="H33" s="1"/>
    </row>
    <row r="34" spans="1:8" ht="16.149999999999999" customHeight="1">
      <c r="A34" s="13" t="s">
        <v>59</v>
      </c>
      <c r="B34" s="1"/>
      <c r="C34" s="14">
        <f>C33*2/3</f>
        <v>43.466000000000001</v>
      </c>
      <c r="D34" s="15" t="s">
        <v>58</v>
      </c>
      <c r="E34" s="1"/>
      <c r="F34" s="27"/>
      <c r="G34" s="1"/>
      <c r="H34" s="1"/>
    </row>
    <row r="35" spans="1:8" ht="16.149999999999999" customHeight="1">
      <c r="A35" s="15" t="s">
        <v>60</v>
      </c>
      <c r="B35" s="1"/>
      <c r="C35" s="1"/>
      <c r="D35" s="1"/>
      <c r="E35" s="1"/>
      <c r="F35" s="27"/>
      <c r="G35" s="1"/>
      <c r="H35" s="1"/>
    </row>
    <row r="36" spans="1:8" ht="16.149999999999999" customHeight="1"/>
  </sheetData>
  <mergeCells count="15">
    <mergeCell ref="A21:H21"/>
    <mergeCell ref="A23:A25"/>
    <mergeCell ref="A28:A30"/>
    <mergeCell ref="G7:G8"/>
    <mergeCell ref="H7:H8"/>
    <mergeCell ref="A9:H9"/>
    <mergeCell ref="A14:H14"/>
    <mergeCell ref="A15:A16"/>
    <mergeCell ref="A18:A19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Venglai</vt:lpstr>
      <vt:lpstr>College veng</vt:lpstr>
      <vt:lpstr>Vengthar</vt:lpstr>
      <vt:lpstr>Saidan Tuithaveng</vt:lpstr>
      <vt:lpstr>Hmarveng</vt:lpstr>
      <vt:lpstr>Diakkawn</vt:lpstr>
      <vt:lpstr>Tumpui</vt:lpstr>
      <vt:lpstr>New Diakkawn</vt:lpstr>
      <vt:lpstr>Project veng</vt:lpstr>
      <vt:lpstr>Electric veng</vt:lpstr>
      <vt:lpstr>Rengtekawn</vt:lpstr>
      <vt:lpstr>N.Thinglian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</dc:creator>
  <cp:lastModifiedBy>mamawia</cp:lastModifiedBy>
  <dcterms:created xsi:type="dcterms:W3CDTF">2019-12-06T08:28:28Z</dcterms:created>
  <dcterms:modified xsi:type="dcterms:W3CDTF">2020-03-26T11:46:55Z</dcterms:modified>
</cp:coreProperties>
</file>