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2" windowWidth="16608" windowHeight="7500" tabRatio="946" activeTab="5"/>
  </bookViews>
  <sheets>
    <sheet name="Bairabi" sheetId="1" r:id="rId1"/>
    <sheet name="Bairabi S" sheetId="15" r:id="rId2"/>
    <sheet name="Meidum" sheetId="4" r:id="rId3"/>
    <sheet name="Pangbal" sheetId="7" r:id="rId4"/>
    <sheet name="S.Chhimluang" sheetId="9" r:id="rId5"/>
    <sheet name="Phaisen" sheetId="8" r:id="rId6"/>
    <sheet name="Buhchang" sheetId="2" r:id="rId7"/>
    <sheet name="Bukvannei" sheetId="3" r:id="rId8"/>
    <sheet name="Saihapui K" sheetId="10" r:id="rId9"/>
    <sheet name="kpl" sheetId="16" r:id="rId10"/>
    <sheet name="Builum" sheetId="6" r:id="rId11"/>
    <sheet name="Gosen" sheetId="5" r:id="rId12"/>
    <sheet name="Abstract" sheetId="11" r:id="rId13"/>
  </sheets>
  <calcPr calcId="124519"/>
</workbook>
</file>

<file path=xl/calcChain.xml><?xml version="1.0" encoding="utf-8"?>
<calcChain xmlns="http://schemas.openxmlformats.org/spreadsheetml/2006/main">
  <c r="K20" i="7"/>
  <c r="L25" i="5"/>
  <c r="L24"/>
  <c r="L22"/>
  <c r="L19"/>
  <c r="L17"/>
  <c r="L16"/>
  <c r="L11"/>
  <c r="L12"/>
  <c r="L13"/>
  <c r="L14"/>
  <c r="L10"/>
  <c r="E2"/>
  <c r="L33" i="6"/>
  <c r="L30"/>
  <c r="L29"/>
  <c r="L27"/>
  <c r="L21"/>
  <c r="L22"/>
  <c r="L23"/>
  <c r="L24"/>
  <c r="L25"/>
  <c r="L20"/>
  <c r="L18"/>
  <c r="L11"/>
  <c r="L12"/>
  <c r="L13"/>
  <c r="L14"/>
  <c r="L15"/>
  <c r="L16"/>
  <c r="L10"/>
  <c r="E2"/>
  <c r="L42" i="16"/>
  <c r="L43"/>
  <c r="L44"/>
  <c r="L45"/>
  <c r="L46"/>
  <c r="L47"/>
  <c r="L48"/>
  <c r="L41"/>
  <c r="L21"/>
  <c r="L20"/>
  <c r="L16"/>
  <c r="L17"/>
  <c r="L18"/>
  <c r="L15"/>
  <c r="L11"/>
  <c r="L12"/>
  <c r="L13"/>
  <c r="L10"/>
  <c r="E2"/>
  <c r="L21" i="10"/>
  <c r="L22"/>
  <c r="L23"/>
  <c r="L24"/>
  <c r="L25"/>
  <c r="L26"/>
  <c r="L27"/>
  <c r="L28"/>
  <c r="L29"/>
  <c r="L20"/>
  <c r="L18"/>
  <c r="L16"/>
  <c r="L11"/>
  <c r="L12"/>
  <c r="L13"/>
  <c r="L14"/>
  <c r="L10"/>
  <c r="E2"/>
  <c r="E3" s="1"/>
  <c r="L43" i="3"/>
  <c r="L44"/>
  <c r="L45"/>
  <c r="L46"/>
  <c r="L47"/>
  <c r="L48"/>
  <c r="L49"/>
  <c r="L42"/>
  <c r="L40"/>
  <c r="L27"/>
  <c r="L28"/>
  <c r="L29"/>
  <c r="L30"/>
  <c r="L31"/>
  <c r="L32"/>
  <c r="L33"/>
  <c r="L34"/>
  <c r="L35"/>
  <c r="L36"/>
  <c r="L37"/>
  <c r="L38"/>
  <c r="L26"/>
  <c r="L11"/>
  <c r="L12"/>
  <c r="L13"/>
  <c r="L14"/>
  <c r="L15"/>
  <c r="L16"/>
  <c r="L17"/>
  <c r="L18"/>
  <c r="L19"/>
  <c r="L20"/>
  <c r="L21"/>
  <c r="L22"/>
  <c r="L23"/>
  <c r="L24"/>
  <c r="L10"/>
  <c r="E2"/>
  <c r="E3" s="1"/>
  <c r="L22" i="2"/>
  <c r="L23"/>
  <c r="L24"/>
  <c r="L21"/>
  <c r="L19"/>
  <c r="L16"/>
  <c r="L17"/>
  <c r="L15"/>
  <c r="L11"/>
  <c r="L12"/>
  <c r="L13"/>
  <c r="L10"/>
  <c r="E2"/>
  <c r="E3" s="1"/>
  <c r="L33" i="8"/>
  <c r="L34"/>
  <c r="L32"/>
  <c r="L28"/>
  <c r="L27"/>
  <c r="L25"/>
  <c r="L18"/>
  <c r="L19"/>
  <c r="L20"/>
  <c r="L21"/>
  <c r="L22"/>
  <c r="L23"/>
  <c r="L17"/>
  <c r="L11"/>
  <c r="L12"/>
  <c r="L13"/>
  <c r="L14"/>
  <c r="L15"/>
  <c r="L10"/>
  <c r="E2"/>
  <c r="E3" s="1"/>
  <c r="E2" i="9"/>
  <c r="K24"/>
  <c r="K20"/>
  <c r="K19"/>
  <c r="K18"/>
  <c r="K11"/>
  <c r="K12"/>
  <c r="K13"/>
  <c r="K14"/>
  <c r="K15"/>
  <c r="K16"/>
  <c r="K10"/>
  <c r="K32" i="7"/>
  <c r="K33"/>
  <c r="K34"/>
  <c r="K31"/>
  <c r="K29"/>
  <c r="K22"/>
  <c r="K23"/>
  <c r="K24"/>
  <c r="K25"/>
  <c r="K26"/>
  <c r="K27"/>
  <c r="K21"/>
  <c r="K11"/>
  <c r="K12"/>
  <c r="K13"/>
  <c r="K14"/>
  <c r="K15"/>
  <c r="K16"/>
  <c r="K17"/>
  <c r="K18"/>
  <c r="K10"/>
  <c r="E2"/>
  <c r="E3" s="1"/>
  <c r="L34" i="4"/>
  <c r="L35"/>
  <c r="L36"/>
  <c r="L37"/>
  <c r="L38"/>
  <c r="L39"/>
  <c r="L40"/>
  <c r="L41"/>
  <c r="L42"/>
  <c r="L33"/>
  <c r="L31"/>
  <c r="L20"/>
  <c r="L21"/>
  <c r="L22"/>
  <c r="L23"/>
  <c r="L24"/>
  <c r="L25"/>
  <c r="L26"/>
  <c r="L27"/>
  <c r="L28"/>
  <c r="L29"/>
  <c r="L19"/>
  <c r="L11"/>
  <c r="L12"/>
  <c r="L13"/>
  <c r="L14"/>
  <c r="L15"/>
  <c r="L16"/>
  <c r="L17"/>
  <c r="L10"/>
  <c r="E2"/>
  <c r="L48" i="15"/>
  <c r="L49"/>
  <c r="L50"/>
  <c r="L51"/>
  <c r="L52"/>
  <c r="L47"/>
  <c r="E2"/>
  <c r="L29"/>
  <c r="L30"/>
  <c r="L31"/>
  <c r="L32"/>
  <c r="L33"/>
  <c r="L34"/>
  <c r="L35"/>
  <c r="L36"/>
  <c r="L37"/>
  <c r="L38"/>
  <c r="L39"/>
  <c r="L40"/>
  <c r="L41"/>
  <c r="L42"/>
  <c r="L43"/>
  <c r="L44"/>
  <c r="L45"/>
  <c r="L28"/>
  <c r="L27"/>
  <c r="L11"/>
  <c r="L12"/>
  <c r="L13"/>
  <c r="L14"/>
  <c r="L15"/>
  <c r="L16"/>
  <c r="L17"/>
  <c r="L18"/>
  <c r="L19"/>
  <c r="L20"/>
  <c r="L21"/>
  <c r="L22"/>
  <c r="L23"/>
  <c r="L24"/>
  <c r="L25"/>
  <c r="L10"/>
  <c r="L39" i="1"/>
  <c r="L38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16"/>
  <c r="L12"/>
  <c r="L13"/>
  <c r="L14"/>
  <c r="L11"/>
  <c r="L10"/>
  <c r="E2"/>
  <c r="E3" i="5"/>
  <c r="B27"/>
  <c r="E3" i="6"/>
  <c r="B36"/>
  <c r="E3" i="16"/>
  <c r="B50"/>
  <c r="O20" i="10"/>
  <c r="B31"/>
  <c r="B51" i="3"/>
  <c r="O21" i="2"/>
  <c r="B26"/>
  <c r="B35" i="8"/>
  <c r="B36"/>
  <c r="B36" i="7"/>
  <c r="P33" i="4"/>
  <c r="B44"/>
  <c r="E3"/>
  <c r="B53" i="15"/>
  <c r="B54"/>
  <c r="E3"/>
  <c r="E3" i="1"/>
  <c r="B41"/>
  <c r="B25" i="9"/>
  <c r="E3"/>
  <c r="B26"/>
  <c r="J11" i="5"/>
  <c r="J12"/>
  <c r="J13"/>
  <c r="J22" i="6"/>
  <c r="J23"/>
  <c r="J24"/>
  <c r="J11"/>
  <c r="J12"/>
  <c r="J13"/>
  <c r="J14"/>
  <c r="J15"/>
  <c r="P17"/>
  <c r="O11"/>
  <c r="P23" i="10"/>
  <c r="P42" i="3"/>
  <c r="P18"/>
  <c r="N11"/>
  <c r="N12"/>
  <c r="N13"/>
  <c r="N14"/>
  <c r="N10"/>
  <c r="O11" i="8"/>
  <c r="O38" i="4"/>
  <c r="O9"/>
  <c r="O13" i="15"/>
  <c r="O29"/>
  <c r="N16" i="1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11"/>
  <c r="N12"/>
  <c r="N13"/>
  <c r="N14"/>
  <c r="N15"/>
  <c r="N10"/>
  <c r="B40"/>
  <c r="P21"/>
  <c r="P32"/>
  <c r="J12" i="2"/>
  <c r="J16"/>
  <c r="J19"/>
  <c r="J22"/>
  <c r="J21"/>
  <c r="H24"/>
  <c r="J24" s="1"/>
  <c r="J23"/>
  <c r="J10"/>
  <c r="J11"/>
  <c r="L35" i="8" l="1"/>
  <c r="L53" i="15"/>
  <c r="K25" i="9"/>
  <c r="L43" i="4"/>
  <c r="P27" i="1"/>
  <c r="N40"/>
  <c r="J25" i="8"/>
  <c r="J10"/>
  <c r="J24" i="10"/>
  <c r="J25"/>
  <c r="J26"/>
  <c r="J27"/>
  <c r="J29"/>
  <c r="J23"/>
  <c r="J22"/>
  <c r="J21"/>
  <c r="J20"/>
  <c r="J12"/>
  <c r="J48" i="3"/>
  <c r="J49"/>
  <c r="J45"/>
  <c r="J47"/>
  <c r="H44"/>
  <c r="J44"/>
  <c r="J46"/>
  <c r="J43"/>
  <c r="J42"/>
  <c r="J10" l="1"/>
  <c r="J11"/>
  <c r="J12"/>
  <c r="J13"/>
  <c r="J14"/>
  <c r="G34" i="7"/>
  <c r="I31"/>
  <c r="I33"/>
  <c r="I34"/>
  <c r="I32"/>
  <c r="I29"/>
  <c r="I22"/>
  <c r="I10"/>
  <c r="J50" i="15"/>
  <c r="J51"/>
  <c r="J52"/>
  <c r="J49"/>
  <c r="J48"/>
  <c r="J47"/>
  <c r="J33"/>
  <c r="J34"/>
  <c r="J35"/>
  <c r="J36"/>
  <c r="J37"/>
  <c r="J38"/>
  <c r="J39"/>
  <c r="J40"/>
  <c r="J41"/>
  <c r="J42"/>
  <c r="J43"/>
  <c r="J44"/>
  <c r="J45"/>
  <c r="J28"/>
  <c r="J13"/>
  <c r="J14"/>
  <c r="J15"/>
  <c r="J16"/>
  <c r="J17"/>
  <c r="J18"/>
  <c r="J19"/>
  <c r="J20"/>
  <c r="J10"/>
  <c r="J11"/>
  <c r="J39" i="1"/>
  <c r="J38"/>
  <c r="J36"/>
  <c r="J35"/>
  <c r="J32"/>
  <c r="J31"/>
  <c r="J29"/>
  <c r="J21"/>
  <c r="J22"/>
  <c r="J23"/>
  <c r="J24"/>
  <c r="J20"/>
  <c r="J11"/>
  <c r="J12"/>
  <c r="J13"/>
  <c r="J14"/>
  <c r="P11"/>
  <c r="J10"/>
  <c r="J10" i="6"/>
  <c r="J20"/>
  <c r="J21"/>
  <c r="J25"/>
  <c r="J18"/>
  <c r="J19"/>
  <c r="J27"/>
  <c r="J31"/>
  <c r="J32"/>
  <c r="J33"/>
  <c r="J34"/>
  <c r="J30"/>
  <c r="I19" i="9"/>
  <c r="I20"/>
  <c r="I21"/>
  <c r="I22"/>
  <c r="I23"/>
  <c r="I18"/>
  <c r="I10"/>
  <c r="I24"/>
  <c r="J18" i="10"/>
  <c r="H18"/>
  <c r="G18"/>
  <c r="J11"/>
  <c r="J10" i="5"/>
  <c r="J16"/>
  <c r="H17"/>
  <c r="J17" s="1"/>
  <c r="H25"/>
  <c r="J25" s="1"/>
  <c r="J24"/>
  <c r="J22"/>
  <c r="J23"/>
  <c r="J21"/>
  <c r="J20"/>
  <c r="J19"/>
  <c r="J14" i="10"/>
  <c r="B35" i="7"/>
  <c r="L40" i="1"/>
  <c r="J33" i="4" l="1"/>
  <c r="J39"/>
  <c r="J41"/>
  <c r="J42"/>
  <c r="H40"/>
  <c r="J40" s="1"/>
  <c r="J31"/>
  <c r="J34"/>
  <c r="J37"/>
  <c r="J35"/>
  <c r="J38"/>
  <c r="J21"/>
  <c r="J22"/>
  <c r="J23"/>
  <c r="J24"/>
  <c r="J25"/>
  <c r="J26"/>
  <c r="J27"/>
  <c r="J28"/>
  <c r="J29"/>
  <c r="J20"/>
  <c r="J36"/>
  <c r="J14" i="5"/>
  <c r="B26"/>
  <c r="J16" i="6"/>
  <c r="B35"/>
  <c r="J13" i="16"/>
  <c r="B49"/>
  <c r="B30" i="10"/>
  <c r="J24" i="3"/>
  <c r="J23"/>
  <c r="J22"/>
  <c r="J21"/>
  <c r="J20"/>
  <c r="J19"/>
  <c r="J18"/>
  <c r="J17"/>
  <c r="B50"/>
  <c r="J13" i="2"/>
  <c r="B25"/>
  <c r="J15" i="8"/>
  <c r="J14"/>
  <c r="J13"/>
  <c r="J12"/>
  <c r="J11"/>
  <c r="E4"/>
  <c r="I16" i="9"/>
  <c r="I15"/>
  <c r="I14"/>
  <c r="I13"/>
  <c r="I12"/>
  <c r="I11"/>
  <c r="J11" i="4"/>
  <c r="J12"/>
  <c r="J13"/>
  <c r="J14"/>
  <c r="J15"/>
  <c r="J16"/>
  <c r="J17"/>
  <c r="J10"/>
  <c r="E4" i="5" l="1"/>
  <c r="E4" i="6"/>
  <c r="E5" s="1"/>
  <c r="E6" s="1"/>
  <c r="E4" i="7"/>
  <c r="L26" i="5"/>
  <c r="L35" i="6"/>
  <c r="E4" i="16"/>
  <c r="L49"/>
  <c r="E4" i="10"/>
  <c r="L30"/>
  <c r="E4" i="3"/>
  <c r="L50"/>
  <c r="E4" i="2"/>
  <c r="L25"/>
  <c r="L36" i="8"/>
  <c r="E5"/>
  <c r="E6" s="1"/>
  <c r="E4" i="9"/>
  <c r="K35" i="7"/>
  <c r="B43" i="4"/>
  <c r="L36" i="6" l="1"/>
  <c r="E5" i="7"/>
  <c r="E6" s="1"/>
  <c r="K36"/>
  <c r="L27" i="5"/>
  <c r="E5"/>
  <c r="E6" s="1"/>
  <c r="L50" i="16"/>
  <c r="E5"/>
  <c r="E6" s="1"/>
  <c r="L31" i="10"/>
  <c r="E5"/>
  <c r="E6" s="1"/>
  <c r="L51" i="3"/>
  <c r="E5"/>
  <c r="E6" s="1"/>
  <c r="L26" i="2"/>
  <c r="E5"/>
  <c r="E6" s="1"/>
  <c r="K26" i="9"/>
  <c r="E5"/>
  <c r="E6" s="1"/>
  <c r="E4" i="4" l="1"/>
  <c r="E4" i="15"/>
  <c r="E4" i="1"/>
  <c r="F1161" i="11"/>
  <c r="F1164"/>
  <c r="F1163"/>
  <c r="F1148"/>
  <c r="F1146"/>
  <c r="F1144"/>
  <c r="F1145"/>
  <c r="D1110"/>
  <c r="D1111" s="1"/>
  <c r="D1112" s="1"/>
  <c r="F1065"/>
  <c r="F1045"/>
  <c r="D1010"/>
  <c r="D1011" s="1"/>
  <c r="F1004"/>
  <c r="F996"/>
  <c r="F992"/>
  <c r="F982"/>
  <c r="F979"/>
  <c r="F978"/>
  <c r="F964"/>
  <c r="F963"/>
  <c r="F962"/>
  <c r="F944"/>
  <c r="D909"/>
  <c r="F896"/>
  <c r="F863"/>
  <c r="F842"/>
  <c r="D808"/>
  <c r="D809" s="1"/>
  <c r="D810" s="1"/>
  <c r="F795"/>
  <c r="F779"/>
  <c r="F762"/>
  <c r="F742"/>
  <c r="F741"/>
  <c r="F723"/>
  <c r="D707"/>
  <c r="D708" s="1"/>
  <c r="D709" s="1"/>
  <c r="F693"/>
  <c r="F661"/>
  <c r="F660"/>
  <c r="F659"/>
  <c r="F632"/>
  <c r="F622"/>
  <c r="D606"/>
  <c r="D607" s="1"/>
  <c r="F592"/>
  <c r="F578"/>
  <c r="F574"/>
  <c r="F560"/>
  <c r="F540"/>
  <c r="F479"/>
  <c r="F477"/>
  <c r="F473"/>
  <c r="F458"/>
  <c r="F457"/>
  <c r="F455"/>
  <c r="F442"/>
  <c r="F439"/>
  <c r="F438"/>
  <c r="F420"/>
  <c r="F412"/>
  <c r="D404"/>
  <c r="D405" s="1"/>
  <c r="F376"/>
  <c r="F358"/>
  <c r="F338"/>
  <c r="F319"/>
  <c r="D303"/>
  <c r="D304" s="1"/>
  <c r="D305" s="1"/>
  <c r="F258"/>
  <c r="F238"/>
  <c r="D203"/>
  <c r="D204" s="1"/>
  <c r="D205" s="1"/>
  <c r="F179"/>
  <c r="F178"/>
  <c r="F176"/>
  <c r="F156"/>
  <c r="F141"/>
  <c r="F139"/>
  <c r="F138"/>
  <c r="F119"/>
  <c r="F116"/>
  <c r="F115"/>
  <c r="D103"/>
  <c r="D104" s="1"/>
  <c r="D105" s="1"/>
  <c r="D3"/>
  <c r="F1205"/>
  <c r="F1105"/>
  <c r="D910"/>
  <c r="D911" s="1"/>
  <c r="F903"/>
  <c r="F802"/>
  <c r="D506"/>
  <c r="D505"/>
  <c r="D507" s="1"/>
  <c r="F499"/>
  <c r="F398"/>
  <c r="F298"/>
  <c r="F198"/>
  <c r="E5" i="4" l="1"/>
  <c r="E6" s="1"/>
  <c r="L44"/>
  <c r="E5" i="15"/>
  <c r="E6" s="1"/>
  <c r="L54"/>
  <c r="E5" i="1"/>
  <c r="E6" s="1"/>
  <c r="L41"/>
  <c r="D406" i="11"/>
  <c r="D407" s="1"/>
  <c r="D408" s="1"/>
  <c r="D608"/>
  <c r="D609" s="1"/>
  <c r="D610" s="1"/>
  <c r="D1012"/>
  <c r="F701"/>
  <c r="F600"/>
  <c r="D1113"/>
  <c r="D1114" s="1"/>
  <c r="D912"/>
  <c r="D913" s="1"/>
  <c r="D811"/>
  <c r="D812" s="1"/>
  <c r="D710"/>
  <c r="D711" s="1"/>
  <c r="D509"/>
  <c r="D508"/>
  <c r="D306"/>
  <c r="D307" s="1"/>
  <c r="D206"/>
  <c r="D207" s="1"/>
  <c r="D106"/>
  <c r="D107" s="1"/>
  <c r="D1013" l="1"/>
  <c r="D1014" s="1"/>
  <c r="D4"/>
  <c r="D5" l="1"/>
  <c r="D6" l="1"/>
  <c r="D7" s="1"/>
</calcChain>
</file>

<file path=xl/sharedStrings.xml><?xml version="1.0" encoding="utf-8"?>
<sst xmlns="http://schemas.openxmlformats.org/spreadsheetml/2006/main" count="2838" uniqueCount="607">
  <si>
    <t>Wage component</t>
  </si>
  <si>
    <t>Projected Job card</t>
  </si>
  <si>
    <t>Material component</t>
  </si>
  <si>
    <t>Total</t>
  </si>
  <si>
    <t>Admin. Cost</t>
  </si>
  <si>
    <t>G.Total</t>
  </si>
  <si>
    <t>Name of Work</t>
  </si>
  <si>
    <t>Location</t>
  </si>
  <si>
    <t>Land Development</t>
  </si>
  <si>
    <t>Afforestation</t>
  </si>
  <si>
    <t>Name of Village : Bairabi North</t>
  </si>
  <si>
    <t>Water Tank</t>
  </si>
  <si>
    <t>Farm Pond</t>
  </si>
  <si>
    <t>Drought Proofing</t>
  </si>
  <si>
    <t>Person days to be Generated</t>
  </si>
  <si>
    <t>Compost Pit</t>
  </si>
  <si>
    <t>Check Dam</t>
  </si>
  <si>
    <t>Earthen Dam</t>
  </si>
  <si>
    <t>Name of Project</t>
  </si>
  <si>
    <t>Watershed Management Works</t>
  </si>
  <si>
    <t>Continuous Contour Trench</t>
  </si>
  <si>
    <t>Contour Bunds</t>
  </si>
  <si>
    <t>Staggered Trench</t>
  </si>
  <si>
    <t>Loose Boulder Structure</t>
  </si>
  <si>
    <t>Boulder Check</t>
  </si>
  <si>
    <t xml:space="preserve">Water Conservation </t>
  </si>
  <si>
    <t>Irrigation</t>
  </si>
  <si>
    <t>Traditional Water Bodies</t>
  </si>
  <si>
    <t>Stop Dam</t>
  </si>
  <si>
    <t>Water Reservior</t>
  </si>
  <si>
    <t>irrigation canals</t>
  </si>
  <si>
    <t>Desilting</t>
  </si>
  <si>
    <t>Excavation</t>
  </si>
  <si>
    <t>Forest Protection</t>
  </si>
  <si>
    <t>Plantation</t>
  </si>
  <si>
    <t>Road / Canal Side Plantation</t>
  </si>
  <si>
    <t>Development of Waste Land</t>
  </si>
  <si>
    <t>Reclamation of Land</t>
  </si>
  <si>
    <t>Bench Terracing</t>
  </si>
  <si>
    <t>CATEGORY - B     COMMUNITY ASSETS OR INDIVIDUAL ASSETS FOR VULNERABLE SECTIONS (ONLY FOR HOUSEHOLDS IN PARAGRAPH 5</t>
  </si>
  <si>
    <t>CATEGORY - A               PUBLIC WORKS RELATING TO NATURAL RESOURCES MANAGEMENT –</t>
  </si>
  <si>
    <t>Improving productivity of lands</t>
  </si>
  <si>
    <t>Improving liveihoods through</t>
  </si>
  <si>
    <t>Development of fallow/waste lands</t>
  </si>
  <si>
    <t>Construction of house</t>
  </si>
  <si>
    <t>Promotion of livestock</t>
  </si>
  <si>
    <t>Promotion of fisheries</t>
  </si>
  <si>
    <t>Lining of Water Courses// Field Channel</t>
  </si>
  <si>
    <t>Land Levelling and Shaping</t>
  </si>
  <si>
    <t>Diversion Channels</t>
  </si>
  <si>
    <t>Drainage in Water Logged Areas</t>
  </si>
  <si>
    <t>Dug Wells</t>
  </si>
  <si>
    <t>Earthen Gully Plug</t>
  </si>
  <si>
    <t>Horticulture</t>
  </si>
  <si>
    <t>Nadep Composing</t>
  </si>
  <si>
    <t>Vermi Composting</t>
  </si>
  <si>
    <t>Nursery Rising</t>
  </si>
  <si>
    <t>Boundary Plantation</t>
  </si>
  <si>
    <t>Belt Vegetation</t>
  </si>
  <si>
    <t>Development of Waste / Fallow Land</t>
  </si>
  <si>
    <t>Reclamation of Saline / Alkaline land</t>
  </si>
  <si>
    <t>Soil Cover on Waste Land</t>
  </si>
  <si>
    <t>Houses ( State Scheme )/ PMAY</t>
  </si>
  <si>
    <t>Cattle Shed</t>
  </si>
  <si>
    <t>Azolla as Cattle-Feed Suplement</t>
  </si>
  <si>
    <t>Goat Shelter</t>
  </si>
  <si>
    <t>Liquid Bio Manures :Sanjeevak or AmritPani</t>
  </si>
  <si>
    <t>Piggery Shed</t>
  </si>
  <si>
    <t>Poultry Shelter</t>
  </si>
  <si>
    <t>Excavation of Pond</t>
  </si>
  <si>
    <t>Fish Drying Platform</t>
  </si>
  <si>
    <t>CATEGORY - C                     COMMON INFRASTRUCTURE INCLUDING FOR NRLM COMPLIANT SELF HELP GROUPS:</t>
  </si>
  <si>
    <t>Agriculture productivity</t>
  </si>
  <si>
    <t>Common work-sheds for livelihood activities of self-help groups</t>
  </si>
  <si>
    <t>Construct building for Federation of Women SHG</t>
  </si>
  <si>
    <t>Work-shed for livelihood activity of SHG</t>
  </si>
  <si>
    <t>Food Grain Storage</t>
  </si>
  <si>
    <t>CATEGORY - D                             RURAL INFRASTRUCTURE:</t>
  </si>
  <si>
    <t>Rural sanitation</t>
  </si>
  <si>
    <t>Road connectivity /   Internal roads/Streets</t>
  </si>
  <si>
    <t>Play fields</t>
  </si>
  <si>
    <t>Disaster preparedness/ Restoration</t>
  </si>
  <si>
    <t>Construction of bulding</t>
  </si>
  <si>
    <t>Anganwadi Toilets</t>
  </si>
  <si>
    <t>Drainage Channel</t>
  </si>
  <si>
    <t>Individual Household Latrines</t>
  </si>
  <si>
    <t>School Toilet Units</t>
  </si>
  <si>
    <t>Soakage Channel / Pit</t>
  </si>
  <si>
    <t>Stabilization Pond</t>
  </si>
  <si>
    <t>Cement Concrete</t>
  </si>
  <si>
    <t>Cross Drainage</t>
  </si>
  <si>
    <t>Culvert</t>
  </si>
  <si>
    <t>Earthen Road</t>
  </si>
  <si>
    <t>Gravel Road</t>
  </si>
  <si>
    <t>InterLocking Cement Block Road</t>
  </si>
  <si>
    <t>Kharanja/Khiranja( Brick / Stone )</t>
  </si>
  <si>
    <t>MittiMurram Road</t>
  </si>
  <si>
    <t>Restoration of Roads</t>
  </si>
  <si>
    <t>Sand Moram</t>
  </si>
  <si>
    <t>Tiles</t>
  </si>
  <si>
    <t>Village Drain</t>
  </si>
  <si>
    <t>Football, Volley Ball Court etc</t>
  </si>
  <si>
    <t>Const. of Storm Water Drains</t>
  </si>
  <si>
    <t>AWC ( Anganwadi Centre )</t>
  </si>
  <si>
    <t>Const of building for Gram Panchayat</t>
  </si>
  <si>
    <t>Const of Cycloan Shelters</t>
  </si>
  <si>
    <t>Const of Village Haats</t>
  </si>
  <si>
    <t>Crematorium</t>
  </si>
  <si>
    <t>Micro &amp; Minor Irrigation</t>
  </si>
  <si>
    <t>Eco Restoration of Forest</t>
  </si>
  <si>
    <t>Gabian Wall</t>
  </si>
  <si>
    <t>No of  Works</t>
  </si>
  <si>
    <t>Persondays generated</t>
  </si>
  <si>
    <t>Retainig Wall</t>
  </si>
  <si>
    <t>BNRGSK Fencing</t>
  </si>
  <si>
    <t>Construction of Kitchen shed for NP-MDMS                             ( National Programme-Mid Day Meal Scheme )</t>
  </si>
  <si>
    <t xml:space="preserve">                    ANNUAL ACTION PLAN 2018-2019   </t>
  </si>
  <si>
    <t>Work Code</t>
  </si>
  <si>
    <t>Name of Village:</t>
  </si>
  <si>
    <t>Bairabi South</t>
  </si>
  <si>
    <t>Pit digging</t>
  </si>
  <si>
    <t>Meidum</t>
  </si>
  <si>
    <t>Pangbalkawn</t>
  </si>
  <si>
    <t>Soakage Channel / Pit/ Public Urinal</t>
  </si>
  <si>
    <t>Cross Drainage/step</t>
  </si>
  <si>
    <t>Gabian Wall/footbridge</t>
  </si>
  <si>
    <t>S Chhimluang</t>
  </si>
  <si>
    <t>Phaisen</t>
  </si>
  <si>
    <t>Buhchangphai</t>
  </si>
  <si>
    <t>Bukvannei</t>
  </si>
  <si>
    <t>Soakage Channel / Pit/Public Urinal</t>
  </si>
  <si>
    <t>Stabilization Pond/ Dumping ground</t>
  </si>
  <si>
    <t>Tiles/step</t>
  </si>
  <si>
    <t>Gabian Wall/RCC Bridge</t>
  </si>
  <si>
    <t>Saihapui K</t>
  </si>
  <si>
    <t>Retainig Wall/RCC Footbridge</t>
  </si>
  <si>
    <t>Khuangpuilam</t>
  </si>
  <si>
    <t>School Toilet Units/Public Urinal</t>
  </si>
  <si>
    <t>Tiles/*Step</t>
  </si>
  <si>
    <t>Crematorium/Thlanmual In</t>
  </si>
  <si>
    <t>New Builum</t>
  </si>
  <si>
    <t>Stabilization Pond/ Dumping Ground</t>
  </si>
  <si>
    <t>Gosen</t>
  </si>
  <si>
    <t>Horticulture/Pit Digging</t>
  </si>
  <si>
    <t>Amount in Lakhs</t>
  </si>
  <si>
    <t xml:space="preserve">                    ANNUAL ACTION PLAN 2019-2020   </t>
  </si>
  <si>
    <t xml:space="preserve"> ANNUAL ACTION PLAN 2019-2020   (BILKHAWTHLIR RD BLOCK)</t>
  </si>
  <si>
    <t xml:space="preserve">Name of Work </t>
  </si>
  <si>
    <t>L</t>
  </si>
  <si>
    <t>B</t>
  </si>
  <si>
    <t>H</t>
  </si>
  <si>
    <t>Q</t>
  </si>
  <si>
    <t>U</t>
  </si>
  <si>
    <t xml:space="preserve">Dimension </t>
  </si>
  <si>
    <t>Const of Fish Pond</t>
  </si>
  <si>
    <t>Lalhmachhuani</t>
  </si>
  <si>
    <t>Thangzuali</t>
  </si>
  <si>
    <t>F Hriattira</t>
  </si>
  <si>
    <t>CJ Lianchungnunga</t>
  </si>
  <si>
    <t>Obeda Laltlansanga</t>
  </si>
  <si>
    <t>C Vanlalhneha</t>
  </si>
  <si>
    <t>Lalpianzuia</t>
  </si>
  <si>
    <t>Zosangliana</t>
  </si>
  <si>
    <t>H Rokunga</t>
  </si>
  <si>
    <t>JH Lalkhuma</t>
  </si>
  <si>
    <t>Lalchhuanliana</t>
  </si>
  <si>
    <t>Lalhruaizela</t>
  </si>
  <si>
    <t>PC Lalhmangaiha</t>
  </si>
  <si>
    <t>Ramdinpuii</t>
  </si>
  <si>
    <t>Rokhawmi</t>
  </si>
  <si>
    <t>K Tlangthanmawia</t>
  </si>
  <si>
    <t>Zakaria</t>
  </si>
  <si>
    <t>Sihlui zau</t>
  </si>
  <si>
    <t>Zophai</t>
  </si>
  <si>
    <t>Chengkawl lui</t>
  </si>
  <si>
    <t>Thuampui lui</t>
  </si>
  <si>
    <t>Suarhliap leilet</t>
  </si>
  <si>
    <t>2 bighas</t>
  </si>
  <si>
    <t>9 bighas</t>
  </si>
  <si>
    <t>10 bighas</t>
  </si>
  <si>
    <t>7 bighas</t>
  </si>
  <si>
    <t>7.5 bighas</t>
  </si>
  <si>
    <t>Lalbuaia</t>
  </si>
  <si>
    <t>Vankhuma lui</t>
  </si>
  <si>
    <t>Lalnunfeli</t>
  </si>
  <si>
    <t>Lalchuanliana</t>
  </si>
  <si>
    <t>H Vanlalrova</t>
  </si>
  <si>
    <t>Vanlalhneha</t>
  </si>
  <si>
    <t>Zoramchhana</t>
  </si>
  <si>
    <t>H Lalrualthanga</t>
  </si>
  <si>
    <t>PC Rosangliana</t>
  </si>
  <si>
    <t>19 bighas</t>
  </si>
  <si>
    <t>4 bighas</t>
  </si>
  <si>
    <t>8 bighas</t>
  </si>
  <si>
    <t>Name of Village : Bairabi South</t>
  </si>
  <si>
    <t>Remdika</t>
  </si>
  <si>
    <t>Lalengzami</t>
  </si>
  <si>
    <t>Lalengi</t>
  </si>
  <si>
    <t>Lalbiakmawia</t>
  </si>
  <si>
    <t>Laldinliana</t>
  </si>
  <si>
    <t>Lalnghinglova</t>
  </si>
  <si>
    <t>Lalnghakliana</t>
  </si>
  <si>
    <t>Vanlalhmuaka</t>
  </si>
  <si>
    <t>H Vanlaldika</t>
  </si>
  <si>
    <t>H Lalchungnunga</t>
  </si>
  <si>
    <t>Lalchhuankima</t>
  </si>
  <si>
    <t>Lalbiakzama</t>
  </si>
  <si>
    <t>Tawna kai</t>
  </si>
  <si>
    <t>Tlawngral</t>
  </si>
  <si>
    <t>Meidum luikam</t>
  </si>
  <si>
    <t>Serhuan  lui zau</t>
  </si>
  <si>
    <t>Vaisam zau</t>
  </si>
  <si>
    <t>Lungding</t>
  </si>
  <si>
    <t>Bulung zau</t>
  </si>
  <si>
    <t>Teirei zau</t>
  </si>
  <si>
    <t>Khakri zau</t>
  </si>
  <si>
    <t>B Dengkhuma</t>
  </si>
  <si>
    <t>Keneth Lalrammawia</t>
  </si>
  <si>
    <t>Lalchhuanawmi</t>
  </si>
  <si>
    <t>Tailuaia</t>
  </si>
  <si>
    <t>Lalchhuandingi</t>
  </si>
  <si>
    <t>H Lalzawmliana</t>
  </si>
  <si>
    <t>Kawnpui lui</t>
  </si>
  <si>
    <t>Luite dam</t>
  </si>
  <si>
    <t>Suarhliap kawng</t>
  </si>
  <si>
    <t>Leitan</t>
  </si>
  <si>
    <t>Half moon terrace</t>
  </si>
  <si>
    <t>C Lalchhuankima</t>
  </si>
  <si>
    <t>R Lalrinawma</t>
  </si>
  <si>
    <t>Samte</t>
  </si>
  <si>
    <t>F Lalduhawma</t>
  </si>
  <si>
    <t>JH Lalropuia</t>
  </si>
  <si>
    <t>Horticulture Pit digging</t>
  </si>
  <si>
    <t>350 Nos</t>
  </si>
  <si>
    <t>2000 Nos</t>
  </si>
  <si>
    <t>1000 Nos</t>
  </si>
  <si>
    <t>Name of Village : Meidum</t>
  </si>
  <si>
    <t>Name of Village : Pangbalkawn</t>
  </si>
  <si>
    <t>Name of Village : S Chhimluang</t>
  </si>
  <si>
    <t>Name of Village : Phaisen</t>
  </si>
  <si>
    <t>Name of Village : Buhchangphai</t>
  </si>
  <si>
    <t>Name of Village : Bukvannei</t>
  </si>
  <si>
    <t>Name of Village : Saihapui K</t>
  </si>
  <si>
    <t>Name of Village : Khuangpuilam</t>
  </si>
  <si>
    <t>Name of Village : New Builum</t>
  </si>
  <si>
    <t>Name of Village : Gosen</t>
  </si>
  <si>
    <t>Lalkima</t>
  </si>
  <si>
    <t>Chhimluangpui zau</t>
  </si>
  <si>
    <t>CeylonThangi</t>
  </si>
  <si>
    <t>Kawnpui lui zau</t>
  </si>
  <si>
    <t>Sawmphakrai</t>
  </si>
  <si>
    <t>Lothazawl zau</t>
  </si>
  <si>
    <t>Lalthakimi</t>
  </si>
  <si>
    <t>Lalthazova</t>
  </si>
  <si>
    <t>ST Thanga</t>
  </si>
  <si>
    <t>Zoramthar zau</t>
  </si>
  <si>
    <t>Sabitri Mesea</t>
  </si>
  <si>
    <t>Lalringzela</t>
  </si>
  <si>
    <t>cum</t>
  </si>
  <si>
    <t>Khawchhung kawnglaih - Earthen Road</t>
  </si>
  <si>
    <t>Kapmawia</t>
  </si>
  <si>
    <t>Khawbul</t>
  </si>
  <si>
    <t>Nohgua</t>
  </si>
  <si>
    <t>Zarzoliana</t>
  </si>
  <si>
    <t>Malsawma</t>
  </si>
  <si>
    <t>Hmangaihpari</t>
  </si>
  <si>
    <t>Chhimluangte</t>
  </si>
  <si>
    <t>Lalrinkima</t>
  </si>
  <si>
    <t>Lalramnghaki</t>
  </si>
  <si>
    <t>Meidum vengchhak</t>
  </si>
  <si>
    <t>Darthangpuii</t>
  </si>
  <si>
    <t>Pachhunga</t>
  </si>
  <si>
    <t>R Lalthianghlimi</t>
  </si>
  <si>
    <t>Khawchhung</t>
  </si>
  <si>
    <t>Culvert at eden veng, Meidum</t>
  </si>
  <si>
    <t>Boulder Flooring at Dumping Ground</t>
  </si>
  <si>
    <t>PCC Flooring at Vengthar, Meidum</t>
  </si>
  <si>
    <t>IHHL for 45 Units</t>
  </si>
  <si>
    <t>SHG Federation House at Meidum</t>
  </si>
  <si>
    <t>Retaining Wall near M/S and P/S, Meidum 2 Nos</t>
  </si>
  <si>
    <t>Retaining Wall at Community Hall, Meidum</t>
  </si>
  <si>
    <t>Gabion wall near Zohminga's House at Vengthar Meidum</t>
  </si>
  <si>
    <t>Gabion wall near Playground Meidum</t>
  </si>
  <si>
    <t>Mimal huan</t>
  </si>
  <si>
    <t>Zohmingthanga</t>
  </si>
  <si>
    <t>Pawihzinga</t>
  </si>
  <si>
    <t>Biakthanga</t>
  </si>
  <si>
    <t>C Zairemmawia</t>
  </si>
  <si>
    <t>Lalhruailiana</t>
  </si>
  <si>
    <t>Leilet kam</t>
  </si>
  <si>
    <t xml:space="preserve">Leilet </t>
  </si>
  <si>
    <t>ONGC road</t>
  </si>
  <si>
    <t>3 Bigha</t>
  </si>
  <si>
    <t>4 Bigha</t>
  </si>
  <si>
    <t>2 Bigha</t>
  </si>
  <si>
    <t>Lallianmawia</t>
  </si>
  <si>
    <t>Nghakkhawvara</t>
  </si>
  <si>
    <t>Lalnuntluanga</t>
  </si>
  <si>
    <t>Laldinpuii</t>
  </si>
  <si>
    <t>Ramdinthara</t>
  </si>
  <si>
    <t>UPC zau</t>
  </si>
  <si>
    <t>Field bul</t>
  </si>
  <si>
    <t>PCI mual</t>
  </si>
  <si>
    <t>Diversion</t>
  </si>
  <si>
    <t>2 Acre</t>
  </si>
  <si>
    <t>1.5 Acre</t>
  </si>
  <si>
    <t>2.5 Acre</t>
  </si>
  <si>
    <t>Water tank at Field veng</t>
  </si>
  <si>
    <t>Kawng hnuai (Main Road)</t>
  </si>
  <si>
    <t>Near Anganwadi Centre 1</t>
  </si>
  <si>
    <t>For benificiaries</t>
  </si>
  <si>
    <t>20 Units</t>
  </si>
  <si>
    <t>High Schhool tlang</t>
  </si>
  <si>
    <t>mimal huan</t>
  </si>
  <si>
    <t>Footpath</t>
  </si>
  <si>
    <t>RCC Bridge</t>
  </si>
  <si>
    <t>Bairabi North Area</t>
  </si>
  <si>
    <t>30 Nos</t>
  </si>
  <si>
    <t>Pangbalkawn area</t>
  </si>
  <si>
    <t>Saihapui K area</t>
  </si>
  <si>
    <t>Renovation</t>
  </si>
  <si>
    <t xml:space="preserve"> Tuichhuahen - 55 m Span</t>
  </si>
  <si>
    <t xml:space="preserve">RCC Bridge </t>
  </si>
  <si>
    <t>Gabion Wall at Tuichhuahen - 50m length</t>
  </si>
  <si>
    <t>Renovation of BNRGSK - Windows 10 nos, Doors 5 Nos</t>
  </si>
  <si>
    <t>BNRGSK</t>
  </si>
  <si>
    <t>SHG Federation House -      18'    X    12'</t>
  </si>
  <si>
    <t>20 Nos</t>
  </si>
  <si>
    <t>20 Nos of IHHL  -  6'   X   4'</t>
  </si>
  <si>
    <t>7 Nos of Roadside Tanky  -- 1.5 X 1.2 X 1 m</t>
  </si>
  <si>
    <t>Water Reservoir at Saihapui K</t>
  </si>
  <si>
    <t>RCC Bridge at Sakhi tamlui  - 35 m Span</t>
  </si>
  <si>
    <t>Village Haat   -- 20'   X    12'</t>
  </si>
  <si>
    <t>Storm water Drain</t>
  </si>
  <si>
    <t>Side Drain near MGNREGA Dam</t>
  </si>
  <si>
    <t xml:space="preserve">TNT to Khuangpuilam Field </t>
  </si>
  <si>
    <t>Zophei kawng</t>
  </si>
  <si>
    <t xml:space="preserve">Pu Lalthianghlima In to Coffee mual </t>
  </si>
  <si>
    <t>Pi Mankungi In to Pu Sawma ram</t>
  </si>
  <si>
    <t>Pi Mankungi In to Zophei</t>
  </si>
  <si>
    <t>Pu VL Sawma In to NH 54</t>
  </si>
  <si>
    <t>Pu Sanga In to Agri link road</t>
  </si>
  <si>
    <t>Approach road to Cosmopolitant School</t>
  </si>
  <si>
    <t>Elim veng</t>
  </si>
  <si>
    <t>UPS to Thlanmual</t>
  </si>
  <si>
    <t>Shalom veng to Coffee mual</t>
  </si>
  <si>
    <t>P/S to  Thlanmual</t>
  </si>
  <si>
    <t>Shalom tuikhur to coffee mual</t>
  </si>
  <si>
    <t>UPS to Coffee mual</t>
  </si>
  <si>
    <t>Khuangpuilam area</t>
  </si>
  <si>
    <t>Step</t>
  </si>
  <si>
    <t>KPL PWD road to Pu R Lalianpuia In</t>
  </si>
  <si>
    <t>Kalvari kailawn</t>
  </si>
  <si>
    <t>Bethel Tuikhur chung</t>
  </si>
  <si>
    <t>Pi Chawngchhungi In bul</t>
  </si>
  <si>
    <t>UPC Biak In kawngthlang</t>
  </si>
  <si>
    <t>BNRGSK thlang</t>
  </si>
  <si>
    <t>Shalom UPS thlang</t>
  </si>
  <si>
    <t>Diakkawn H/S Gate bul</t>
  </si>
  <si>
    <t>5 Nos</t>
  </si>
  <si>
    <t>3 Nos Khuangpuilam area</t>
  </si>
  <si>
    <t>200 Nos</t>
  </si>
  <si>
    <t>10 Nos</t>
  </si>
  <si>
    <t>Schools, Offices, Thlanmual areas</t>
  </si>
  <si>
    <t>Lalthangmawia</t>
  </si>
  <si>
    <t>Lalrochama</t>
  </si>
  <si>
    <t>Lalrodinga</t>
  </si>
  <si>
    <t xml:space="preserve"> Lalrammawia </t>
  </si>
  <si>
    <t>Lalengmawia</t>
  </si>
  <si>
    <t>Zualtea</t>
  </si>
  <si>
    <t xml:space="preserve"> Bancharai</t>
  </si>
  <si>
    <t>Lalmawipuia</t>
  </si>
  <si>
    <t xml:space="preserve"> Lalthangmawia</t>
  </si>
  <si>
    <t xml:space="preserve"> Vanlalenga</t>
  </si>
  <si>
    <t>Lalrinnunga</t>
  </si>
  <si>
    <t>Lalrammawia</t>
  </si>
  <si>
    <t xml:space="preserve"> Donto </t>
  </si>
  <si>
    <t>Bancharai</t>
  </si>
  <si>
    <t xml:space="preserve"> PC Lalhmingliana </t>
  </si>
  <si>
    <t>Zoramthanga</t>
  </si>
  <si>
    <t>Lalduha</t>
  </si>
  <si>
    <t xml:space="preserve">Thlanmual kawnghlui 30000 lits </t>
  </si>
  <si>
    <t>Primary School &amp; Middle School ah 20000 lits</t>
  </si>
  <si>
    <t>Vengchhak tanky thar bul leh vengthlang kawn to Sikul peng</t>
  </si>
  <si>
    <t>Health Clinic bul ah tanky - 10000 lits</t>
  </si>
  <si>
    <t>Vengthlang tuilakna hnara thingphun</t>
  </si>
  <si>
    <t xml:space="preserve">Mi tin in ah tanky - 2000 lits </t>
  </si>
  <si>
    <t>Tuichhuahen via Pu Rodinga Kai</t>
  </si>
  <si>
    <t>Bridge</t>
  </si>
  <si>
    <t>Bukvannei area</t>
  </si>
  <si>
    <t>Gabion wall at playground</t>
  </si>
  <si>
    <t>Thlanmual in, achunga tuizem dah</t>
  </si>
  <si>
    <t>Primary School</t>
  </si>
  <si>
    <t>Hmar veng</t>
  </si>
  <si>
    <t>41 Nos</t>
  </si>
  <si>
    <t>1 No</t>
  </si>
  <si>
    <t>18 Nos</t>
  </si>
  <si>
    <t>2 Nos</t>
  </si>
  <si>
    <t>VO House at Bukvannei area</t>
  </si>
  <si>
    <t>New Builum area</t>
  </si>
  <si>
    <t>Fish Drying yard</t>
  </si>
  <si>
    <t>Serlui</t>
  </si>
  <si>
    <t>Pen Culture</t>
  </si>
  <si>
    <t>Tuikhur hnar 5 nos</t>
  </si>
  <si>
    <t>Kawng chung leh hnuai - 3kms</t>
  </si>
  <si>
    <t>Pu Rualremthanga in bul - 500m</t>
  </si>
  <si>
    <t>Thlanmual kawng/Tuikhur kawng</t>
  </si>
  <si>
    <t>AWC No 1</t>
  </si>
  <si>
    <t>Gosen area</t>
  </si>
  <si>
    <t>Tuikhur hnar</t>
  </si>
  <si>
    <t>Voley Ball court tur</t>
  </si>
  <si>
    <t>Gosen to New Builum</t>
  </si>
  <si>
    <t>P/S panna</t>
  </si>
  <si>
    <t>kudam hnung</t>
  </si>
  <si>
    <t>IHHL</t>
  </si>
  <si>
    <t>Lalrema</t>
  </si>
  <si>
    <t>Vanlalnghaka</t>
  </si>
  <si>
    <t>Benjamina</t>
  </si>
  <si>
    <t>Lusaiham</t>
  </si>
  <si>
    <t>April</t>
  </si>
  <si>
    <t>May</t>
  </si>
  <si>
    <t>Nunhlima</t>
  </si>
  <si>
    <t>June</t>
  </si>
  <si>
    <t>September</t>
  </si>
  <si>
    <t>S Chhimluang to Pangbalkawn Short-cut</t>
  </si>
  <si>
    <t>S Chhimluang to Pangbalkawn Jeepable</t>
  </si>
  <si>
    <t>October &amp; November</t>
  </si>
  <si>
    <t>S Chhimluang to Zambira</t>
  </si>
  <si>
    <t>December</t>
  </si>
  <si>
    <t>Lalrinkima Molshoy</t>
  </si>
  <si>
    <t>January</t>
  </si>
  <si>
    <t>July &amp; August &amp; February</t>
  </si>
  <si>
    <t>S Chhimluang area</t>
  </si>
  <si>
    <t xml:space="preserve"> Volley Ball Court</t>
  </si>
  <si>
    <t>March</t>
  </si>
  <si>
    <t>Lalhmangaiha in to Lalrema In</t>
  </si>
  <si>
    <t>Vengthar</t>
  </si>
  <si>
    <t>Village drain</t>
  </si>
  <si>
    <t>Thandarai in to Rinpuia in</t>
  </si>
  <si>
    <t>2205002017/WC/8579</t>
  </si>
  <si>
    <t xml:space="preserve">2205002017/LD/20672 </t>
  </si>
  <si>
    <t>2205002017/LD/20674</t>
  </si>
  <si>
    <t>2205002017/FR/21348</t>
  </si>
  <si>
    <t>2205002017/RC/26519</t>
  </si>
  <si>
    <t>2205002017/FP/22909</t>
  </si>
  <si>
    <t>2205002034/WC/8580</t>
  </si>
  <si>
    <t>Bairabi South to Meidum</t>
  </si>
  <si>
    <t>2205002034/IC/1859</t>
  </si>
  <si>
    <t>2205002034/DP/5629</t>
  </si>
  <si>
    <t>2205002034/LD/20678</t>
  </si>
  <si>
    <t>2205002034/LD/20680</t>
  </si>
  <si>
    <t>2205002034/IF/23581</t>
  </si>
  <si>
    <t>2205002034/LD/20684</t>
  </si>
  <si>
    <t>2205002034/IF/23582</t>
  </si>
  <si>
    <t>2205002034/FR/21349</t>
  </si>
  <si>
    <r>
      <t> </t>
    </r>
    <r>
      <rPr>
        <b/>
        <sz val="12"/>
        <color rgb="FF0000FF"/>
        <rFont val="Calibri"/>
        <family val="2"/>
        <scheme val="minor"/>
      </rPr>
      <t>2205002034/RC/26520</t>
    </r>
  </si>
  <si>
    <t>2205002034/FP/22910</t>
  </si>
  <si>
    <t>2205002034/AV/1474</t>
  </si>
  <si>
    <t>2205002034/AV/1475</t>
  </si>
  <si>
    <t>2205002018/LD/20692</t>
  </si>
  <si>
    <t xml:space="preserve"> Fish Pond</t>
  </si>
  <si>
    <r>
      <t> </t>
    </r>
    <r>
      <rPr>
        <b/>
        <sz val="12"/>
        <color rgb="FF0000FF"/>
        <rFont val="Calibri"/>
        <family val="2"/>
        <scheme val="minor"/>
      </rPr>
      <t>2205002018/LD/20697</t>
    </r>
  </si>
  <si>
    <t>2205002018/FR/21350</t>
  </si>
  <si>
    <t>2205002018/AV/1476</t>
  </si>
  <si>
    <r>
      <t> </t>
    </r>
    <r>
      <rPr>
        <b/>
        <sz val="12"/>
        <color rgb="FF0000FF"/>
        <rFont val="Calibri"/>
        <family val="2"/>
        <scheme val="minor"/>
      </rPr>
      <t>2205002018/RS/7565</t>
    </r>
  </si>
  <si>
    <t>2205002018/RC/26521</t>
  </si>
  <si>
    <t>2205002018/FP/22911</t>
  </si>
  <si>
    <t>sqm</t>
  </si>
  <si>
    <t>Kms</t>
  </si>
  <si>
    <t>10 Hectare</t>
  </si>
  <si>
    <t>nos</t>
  </si>
  <si>
    <t>Bairabi South area</t>
  </si>
  <si>
    <t>Tlawngkam</t>
  </si>
  <si>
    <t>15 Hectare</t>
  </si>
  <si>
    <t>2.5 Hectare</t>
  </si>
  <si>
    <t>1 Hectare</t>
  </si>
  <si>
    <t>3 Kms</t>
  </si>
  <si>
    <t>0.5 Hectare</t>
  </si>
  <si>
    <t>2 Kms</t>
  </si>
  <si>
    <t>Melody Lalnunfeli</t>
  </si>
  <si>
    <t>Champuii</t>
  </si>
  <si>
    <t>Lalhriatpuia</t>
  </si>
  <si>
    <t>Zonunpara</t>
  </si>
  <si>
    <t>F Lalnunthara</t>
  </si>
  <si>
    <t>CT Lalchhuanawma</t>
  </si>
  <si>
    <t>Kaptluanga</t>
  </si>
  <si>
    <t>Hmanthangi</t>
  </si>
  <si>
    <t>Kawlthangvunga</t>
  </si>
  <si>
    <t>VL Sawta</t>
  </si>
  <si>
    <t>Lalsawta</t>
  </si>
  <si>
    <t>Thianghlima in to pC Lalthlamuana in leh Thansiami in to Chalneihthianga in</t>
  </si>
  <si>
    <t>Lalropuia in to K Sawma in</t>
  </si>
  <si>
    <t>Sangtluanga in to VL Hriata in</t>
  </si>
  <si>
    <t>Community Hall panna</t>
  </si>
  <si>
    <t>RMSA panna</t>
  </si>
  <si>
    <t>Hmunthanga in to Lalhmangaiha in</t>
  </si>
  <si>
    <t>Lianchungnnga leh Thianghlima in bul</t>
  </si>
  <si>
    <t>Zonunpara leh Vanlalnghaka in bul</t>
  </si>
  <si>
    <t>Phaisen area</t>
  </si>
  <si>
    <t>mi 20 huan ah</t>
  </si>
  <si>
    <t>mi 50 huan ah</t>
  </si>
  <si>
    <t>Mimal huan ah</t>
  </si>
  <si>
    <t>10 Hectares</t>
  </si>
  <si>
    <t>Buhchangphai area ah 10 Nos</t>
  </si>
  <si>
    <t>Saron</t>
  </si>
  <si>
    <t xml:space="preserve">Buhchangphai area </t>
  </si>
  <si>
    <t xml:space="preserve">Saron leh Gosen veng ah </t>
  </si>
  <si>
    <t>Storm water drain</t>
  </si>
  <si>
    <t>Zuiliana in to Rthanmawia in leh Zothlamuana in bul</t>
  </si>
  <si>
    <t>mi 20 tan</t>
  </si>
  <si>
    <t>Mi 10 tan</t>
  </si>
  <si>
    <t>2205002019/WC/8585</t>
  </si>
  <si>
    <t>2205002019/DP/5630</t>
  </si>
  <si>
    <t>2205002019/LD/20707</t>
  </si>
  <si>
    <t>2205002019/IF/23608</t>
  </si>
  <si>
    <t>2205002019/IF/23609</t>
  </si>
  <si>
    <t>2205002019/FR/21351</t>
  </si>
  <si>
    <t>2205002019/AV/1477</t>
  </si>
  <si>
    <t>2205002019/RS/7568</t>
  </si>
  <si>
    <t>2205002019/RC/26523</t>
  </si>
  <si>
    <t>2205002019/FP/22912</t>
  </si>
  <si>
    <t>2205002005/WC/8586</t>
  </si>
  <si>
    <t>2205002005/LD/20708</t>
  </si>
  <si>
    <t>2205002005/RC/26524</t>
  </si>
  <si>
    <t>2205002005/AV/1478</t>
  </si>
  <si>
    <t>2205002002/WC/8587</t>
  </si>
  <si>
    <t>2205002002/LD/20709</t>
  </si>
  <si>
    <t>2205002002/FR/21352</t>
  </si>
  <si>
    <t>2205002002/AV/1479</t>
  </si>
  <si>
    <t>2205002002/RS/7570</t>
  </si>
  <si>
    <t>2205002002/RC/26527</t>
  </si>
  <si>
    <t>2205002002/FP/22913</t>
  </si>
  <si>
    <t>2205002002/FP/22914</t>
  </si>
  <si>
    <t>2205002001/FP/22915</t>
  </si>
  <si>
    <t>2205002001/FP/22916</t>
  </si>
  <si>
    <t>2205002001/AV/1480</t>
  </si>
  <si>
    <t>2205002001/WC/8590</t>
  </si>
  <si>
    <r>
      <t> </t>
    </r>
    <r>
      <rPr>
        <b/>
        <sz val="12"/>
        <color rgb="FF0000FF"/>
        <rFont val="Calibri"/>
        <family val="2"/>
        <scheme val="minor"/>
      </rPr>
      <t>2205002001/WC/8591</t>
    </r>
  </si>
  <si>
    <t>2205002001/IC/1860</t>
  </si>
  <si>
    <t>2205002001/LD/20712</t>
  </si>
  <si>
    <t>2205002001/LD/20713</t>
  </si>
  <si>
    <t>2205002001/IF/23648</t>
  </si>
  <si>
    <t>2205002001/FR/21370</t>
  </si>
  <si>
    <t>2205002001/AV/1481</t>
  </si>
  <si>
    <t>2205002001/RS/7571</t>
  </si>
  <si>
    <t>2205002004/RS/7572</t>
  </si>
  <si>
    <t>2205002004/WC/8592</t>
  </si>
  <si>
    <r>
      <t> </t>
    </r>
    <r>
      <rPr>
        <b/>
        <sz val="12"/>
        <color rgb="FF0000FF"/>
        <rFont val="Calibri"/>
        <family val="2"/>
        <scheme val="minor"/>
      </rPr>
      <t>2205002004/DP/5631</t>
    </r>
  </si>
  <si>
    <t>RoadSide Plantation</t>
  </si>
  <si>
    <t>2205002004/DP/5632</t>
  </si>
  <si>
    <t>2205002004/LD/20714</t>
  </si>
  <si>
    <t>2205002004/LD/20715</t>
  </si>
  <si>
    <t>2205002004/IF/23649</t>
  </si>
  <si>
    <t>2205002004/FR/21371</t>
  </si>
  <si>
    <t>2205002004/AV/1482</t>
  </si>
  <si>
    <t>2205002004/RC/26528</t>
  </si>
  <si>
    <t>2205002004/FP/22917</t>
  </si>
  <si>
    <t>2205002004/AV/1483</t>
  </si>
  <si>
    <t>2205002004/AV/1484</t>
  </si>
  <si>
    <t>2205002004/AV/1485</t>
  </si>
  <si>
    <t>2205002003/AV/1486</t>
  </si>
  <si>
    <t>2205002003/AV/1487</t>
  </si>
  <si>
    <t>2205002003/AV/1488</t>
  </si>
  <si>
    <t>2205002003/AV/1489</t>
  </si>
  <si>
    <t>2205002003/WC/8593</t>
  </si>
  <si>
    <t>2205002003/WC/8594</t>
  </si>
  <si>
    <t>2205002003/WC/8595</t>
  </si>
  <si>
    <t>Road  Side Plantation</t>
  </si>
  <si>
    <t>2205002003/DP/5633</t>
  </si>
  <si>
    <t>2205002003/LD/20716</t>
  </si>
  <si>
    <t>2205002003/FR/21372</t>
  </si>
  <si>
    <t>2205002003/RS/7573</t>
  </si>
  <si>
    <t>2205002003/RC/26529</t>
  </si>
  <si>
    <t>2205002003/FP/22918</t>
  </si>
  <si>
    <t>2205002031/FP/22919</t>
  </si>
  <si>
    <t>2205002031/WC/8596</t>
  </si>
  <si>
    <t>2205002031/WC/8597</t>
  </si>
  <si>
    <t>2205002031/DP/5634</t>
  </si>
  <si>
    <t>2205002031/LD/20717</t>
  </si>
  <si>
    <t>2205002031/IF/23650</t>
  </si>
  <si>
    <t>2205002031/IF/23651</t>
  </si>
  <si>
    <t>2205002031/FR/21373</t>
  </si>
  <si>
    <t>2205002031/RS/7574</t>
  </si>
  <si>
    <t>2205002031/RC/26530</t>
  </si>
  <si>
    <t>2205002031/AV/1490</t>
  </si>
  <si>
    <t>2205002031/AV/1491</t>
  </si>
  <si>
    <t>2205002031/AV/1492</t>
  </si>
  <si>
    <t>2205002020/AV/1493</t>
  </si>
  <si>
    <t>2205002020/DP/5635</t>
  </si>
  <si>
    <t>2205002020/LD/20718</t>
  </si>
  <si>
    <t>2205002020/FR/21374</t>
  </si>
  <si>
    <t>2205002020/FR/21375</t>
  </si>
  <si>
    <t>2205002020/IF/23652</t>
  </si>
  <si>
    <t>2205002020/RS/7575</t>
  </si>
  <si>
    <t>2205002020/RC/26531</t>
  </si>
  <si>
    <t>2205002020/FP/22920</t>
  </si>
  <si>
    <t>2205002033/FP/22921</t>
  </si>
  <si>
    <t>2205002033/DP/5636</t>
  </si>
  <si>
    <t>2205002033/LD/20719</t>
  </si>
  <si>
    <r>
      <t> </t>
    </r>
    <r>
      <rPr>
        <b/>
        <sz val="12"/>
        <color rgb="FF0000FF"/>
        <rFont val="Calibri"/>
        <family val="2"/>
        <scheme val="minor"/>
      </rPr>
      <t>2205002033/LD/20720</t>
    </r>
  </si>
  <si>
    <t>2205002033/FR/21376</t>
  </si>
  <si>
    <t>2205002033/RC/26532</t>
  </si>
  <si>
    <t>2205002033/AV/1494</t>
  </si>
  <si>
    <t>Mimal  huan</t>
  </si>
  <si>
    <t>July</t>
  </si>
  <si>
    <t>August</t>
  </si>
  <si>
    <t>Fish pond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</si>
</sst>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0000"/>
    <numFmt numFmtId="166" formatCode="0.000"/>
    <numFmt numFmtId="167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1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344">
    <xf numFmtId="0" fontId="0" fillId="0" borderId="0" xfId="0"/>
    <xf numFmtId="0" fontId="2" fillId="2" borderId="0" xfId="2" applyFont="1" applyFill="1" applyAlignment="1">
      <alignment horizontal="left" vertical="center"/>
    </xf>
    <xf numFmtId="0" fontId="2" fillId="2" borderId="0" xfId="2" applyFont="1" applyFill="1" applyAlignment="1">
      <alignment horizontal="right"/>
    </xf>
    <xf numFmtId="0" fontId="1" fillId="0" borderId="0" xfId="0" applyFont="1"/>
    <xf numFmtId="0" fontId="2" fillId="0" borderId="0" xfId="0" applyNumberFormat="1" applyFont="1" applyAlignment="1">
      <alignment horizontal="left"/>
    </xf>
    <xf numFmtId="0" fontId="1" fillId="2" borderId="0" xfId="2" applyFill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0" fontId="1" fillId="2" borderId="0" xfId="2" applyFill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2" fillId="2" borderId="0" xfId="2" applyFont="1" applyFill="1" applyAlignment="1"/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0" xfId="2" applyFont="1" applyFill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5" fillId="0" borderId="1" xfId="0" applyFont="1" applyBorder="1" applyAlignment="1">
      <alignment wrapText="1"/>
    </xf>
    <xf numFmtId="0" fontId="0" fillId="0" borderId="1" xfId="0" applyFont="1" applyBorder="1" applyAlignment="1"/>
    <xf numFmtId="0" fontId="7" fillId="0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center" wrapText="1"/>
    </xf>
    <xf numFmtId="165" fontId="2" fillId="0" borderId="0" xfId="0" applyNumberFormat="1" applyFont="1" applyAlignment="1">
      <alignment horizontal="left"/>
    </xf>
    <xf numFmtId="164" fontId="2" fillId="2" borderId="0" xfId="3" applyFont="1" applyFill="1" applyAlignment="1">
      <alignment horizontal="left"/>
    </xf>
    <xf numFmtId="164" fontId="2" fillId="2" borderId="0" xfId="2" applyNumberFormat="1" applyFont="1" applyFill="1" applyAlignment="1">
      <alignment horizontal="left"/>
    </xf>
    <xf numFmtId="164" fontId="2" fillId="2" borderId="13" xfId="2" applyNumberFormat="1" applyFont="1" applyFill="1" applyBorder="1" applyAlignment="1">
      <alignment horizontal="left"/>
    </xf>
    <xf numFmtId="0" fontId="2" fillId="2" borderId="0" xfId="2" applyFont="1" applyFill="1" applyAlignment="1">
      <alignment horizontal="left" vertical="top"/>
    </xf>
    <xf numFmtId="0" fontId="1" fillId="0" borderId="0" xfId="0" applyFont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0" xfId="2" applyFont="1" applyFill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2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2" fillId="0" borderId="1" xfId="2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164" fontId="2" fillId="2" borderId="0" xfId="3" applyFont="1" applyFill="1" applyAlignment="1"/>
    <xf numFmtId="164" fontId="2" fillId="2" borderId="0" xfId="2" applyNumberFormat="1" applyFont="1" applyFill="1" applyAlignment="1"/>
    <xf numFmtId="164" fontId="2" fillId="2" borderId="13" xfId="2" applyNumberFormat="1" applyFont="1" applyFill="1" applyBorder="1" applyAlignment="1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166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4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2" borderId="0" xfId="2" applyFont="1" applyFill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164" fontId="2" fillId="2" borderId="0" xfId="3" applyFont="1" applyFill="1" applyAlignment="1">
      <alignment horizontal="center"/>
    </xf>
    <xf numFmtId="164" fontId="2" fillId="2" borderId="0" xfId="2" applyNumberFormat="1" applyFont="1" applyFill="1" applyAlignment="1">
      <alignment horizontal="center"/>
    </xf>
    <xf numFmtId="164" fontId="2" fillId="2" borderId="13" xfId="2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64" fontId="2" fillId="2" borderId="0" xfId="2" applyNumberFormat="1" applyFont="1" applyFill="1" applyBorder="1" applyAlignment="1"/>
    <xf numFmtId="0" fontId="2" fillId="0" borderId="5" xfId="2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64" fontId="2" fillId="2" borderId="0" xfId="3" applyFont="1" applyFill="1" applyAlignment="1">
      <alignment horizontal="center" vertical="center"/>
    </xf>
    <xf numFmtId="164" fontId="2" fillId="2" borderId="0" xfId="2" applyNumberFormat="1" applyFont="1" applyFill="1" applyAlignment="1">
      <alignment horizontal="center" vertical="center"/>
    </xf>
    <xf numFmtId="164" fontId="2" fillId="2" borderId="13" xfId="2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0" borderId="1" xfId="5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2" borderId="0" xfId="2" applyFont="1" applyFill="1" applyAlignment="1">
      <alignment vertical="center"/>
    </xf>
    <xf numFmtId="0" fontId="2" fillId="2" borderId="0" xfId="2" applyFont="1" applyFill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167" fontId="0" fillId="0" borderId="0" xfId="0" applyNumberFormat="1"/>
    <xf numFmtId="2" fontId="0" fillId="0" borderId="1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6" fontId="4" fillId="0" borderId="0" xfId="0" applyNumberFormat="1" applyFont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wrapText="1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Fill="1"/>
    <xf numFmtId="2" fontId="0" fillId="0" borderId="1" xfId="0" applyNumberForma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/>
    <xf numFmtId="0" fontId="0" fillId="0" borderId="4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0" fontId="0" fillId="3" borderId="1" xfId="0" applyFill="1" applyBorder="1"/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vertical="center"/>
    </xf>
    <xf numFmtId="0" fontId="2" fillId="0" borderId="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2" fillId="0" borderId="4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2" borderId="0" xfId="3" applyFont="1" applyFill="1" applyAlignment="1">
      <alignment horizontal="left" vertical="center"/>
    </xf>
    <xf numFmtId="164" fontId="2" fillId="2" borderId="0" xfId="2" applyNumberFormat="1" applyFont="1" applyFill="1" applyAlignment="1">
      <alignment horizontal="left" vertical="center"/>
    </xf>
    <xf numFmtId="164" fontId="2" fillId="2" borderId="13" xfId="2" applyNumberFormat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2" fillId="0" borderId="8" xfId="2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8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8" xfId="0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8" xfId="0" applyFont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0" borderId="1" xfId="0" applyFont="1" applyBorder="1" applyAlignment="1">
      <alignment horizontal="left" vertical="center"/>
    </xf>
    <xf numFmtId="0" fontId="0" fillId="0" borderId="9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2" fontId="0" fillId="0" borderId="4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0" fillId="0" borderId="6" xfId="0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9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 wrapText="1"/>
    </xf>
    <xf numFmtId="164" fontId="2" fillId="2" borderId="0" xfId="3" applyFont="1" applyFill="1" applyAlignment="1">
      <alignment horizontal="center" vertical="center"/>
    </xf>
    <xf numFmtId="164" fontId="2" fillId="2" borderId="0" xfId="2" applyNumberFormat="1" applyFont="1" applyFill="1" applyAlignment="1">
      <alignment horizontal="center" vertical="center"/>
    </xf>
    <xf numFmtId="164" fontId="2" fillId="2" borderId="13" xfId="2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0" borderId="10" xfId="2" applyFont="1" applyBorder="1" applyAlignment="1">
      <alignment horizontal="left" vertical="center"/>
    </xf>
    <xf numFmtId="0" fontId="2" fillId="0" borderId="11" xfId="2" applyFont="1" applyBorder="1" applyAlignment="1">
      <alignment horizontal="left" vertical="center"/>
    </xf>
    <xf numFmtId="0" fontId="2" fillId="0" borderId="2" xfId="2" applyFont="1" applyBorder="1" applyAlignment="1">
      <alignment horizontal="left" vertical="center"/>
    </xf>
    <xf numFmtId="0" fontId="2" fillId="0" borderId="12" xfId="2" applyFont="1" applyBorder="1" applyAlignment="1">
      <alignment horizontal="left" vertical="center"/>
    </xf>
    <xf numFmtId="0" fontId="2" fillId="0" borderId="13" xfId="2" applyFont="1" applyBorder="1" applyAlignment="1">
      <alignment horizontal="left" vertical="center"/>
    </xf>
    <xf numFmtId="0" fontId="2" fillId="0" borderId="3" xfId="2" applyFont="1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5" fillId="0" borderId="9" xfId="0" applyFont="1" applyBorder="1" applyAlignment="1">
      <alignment horizontal="left" wrapText="1"/>
    </xf>
    <xf numFmtId="0" fontId="0" fillId="0" borderId="8" xfId="0" applyFont="1" applyBorder="1" applyAlignment="1">
      <alignment horizontal="justify" wrapText="1"/>
    </xf>
    <xf numFmtId="0" fontId="0" fillId="0" borderId="9" xfId="0" applyFont="1" applyBorder="1" applyAlignment="1">
      <alignment horizontal="justify"/>
    </xf>
    <xf numFmtId="0" fontId="0" fillId="0" borderId="6" xfId="0" applyFont="1" applyBorder="1" applyAlignment="1">
      <alignment horizontal="justify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8" xfId="0" applyFont="1" applyBorder="1" applyAlignment="1">
      <alignment horizontal="left" wrapText="1"/>
    </xf>
    <xf numFmtId="0" fontId="0" fillId="3" borderId="8" xfId="0" applyFont="1" applyFill="1" applyBorder="1" applyAlignment="1">
      <alignment horizontal="left"/>
    </xf>
    <xf numFmtId="0" fontId="0" fillId="3" borderId="9" xfId="0" applyFont="1" applyFill="1" applyBorder="1" applyAlignment="1">
      <alignment horizontal="left"/>
    </xf>
    <xf numFmtId="0" fontId="0" fillId="3" borderId="6" xfId="0" applyFont="1" applyFill="1" applyBorder="1" applyAlignment="1">
      <alignment horizontal="left"/>
    </xf>
    <xf numFmtId="0" fontId="0" fillId="0" borderId="8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8" xfId="5" applyFont="1" applyBorder="1" applyAlignment="1" applyProtection="1">
      <alignment horizontal="left" wrapText="1"/>
    </xf>
    <xf numFmtId="0" fontId="5" fillId="0" borderId="9" xfId="5" applyFont="1" applyBorder="1" applyAlignment="1" applyProtection="1">
      <alignment horizontal="left" wrapText="1"/>
    </xf>
    <xf numFmtId="0" fontId="5" fillId="0" borderId="6" xfId="5" applyFont="1" applyBorder="1" applyAlignment="1" applyProtection="1">
      <alignment horizontal="left" wrapText="1"/>
    </xf>
    <xf numFmtId="0" fontId="2" fillId="2" borderId="0" xfId="2" applyFont="1" applyFill="1" applyAlignment="1">
      <alignment horizontal="center"/>
    </xf>
    <xf numFmtId="0" fontId="2" fillId="0" borderId="8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</cellXfs>
  <cellStyles count="6">
    <cellStyle name="Comma 2" xfId="4"/>
    <cellStyle name="Comma 2 2" xfId="3"/>
    <cellStyle name="Hyperlink" xfId="5" builtinId="8"/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1"/>
  <sheetViews>
    <sheetView topLeftCell="A13" workbookViewId="0">
      <selection activeCell="E32" sqref="E32"/>
    </sheetView>
  </sheetViews>
  <sheetFormatPr defaultRowHeight="14.4"/>
  <cols>
    <col min="1" max="1" width="17" style="9" customWidth="1"/>
    <col min="2" max="2" width="9.6640625" style="10" customWidth="1"/>
    <col min="3" max="3" width="24.5546875" customWidth="1"/>
    <col min="4" max="4" width="18" style="3" customWidth="1"/>
    <col min="5" max="5" width="9.33203125" style="3" customWidth="1"/>
    <col min="6" max="6" width="15.5546875" style="3" customWidth="1"/>
    <col min="7" max="7" width="5" style="18" customWidth="1"/>
    <col min="8" max="9" width="4.5546875" style="18" customWidth="1"/>
    <col min="10" max="11" width="5.109375" style="18" customWidth="1"/>
    <col min="12" max="12" width="8.109375" style="59" customWidth="1"/>
    <col min="13" max="13" width="22.6640625" bestFit="1" customWidth="1"/>
  </cols>
  <sheetData>
    <row r="1" spans="1:16">
      <c r="A1" s="19" t="s">
        <v>10</v>
      </c>
      <c r="B1" s="6"/>
      <c r="C1" s="16"/>
      <c r="D1" s="16" t="s">
        <v>146</v>
      </c>
      <c r="E1" s="16"/>
      <c r="F1" s="16"/>
      <c r="G1" s="16"/>
      <c r="H1" s="16"/>
      <c r="I1" s="16"/>
      <c r="J1" s="16"/>
      <c r="K1" s="16"/>
      <c r="L1" s="63"/>
      <c r="M1" s="51"/>
    </row>
    <row r="2" spans="1:16">
      <c r="A2" s="1"/>
      <c r="B2" s="6"/>
      <c r="C2" s="2"/>
      <c r="D2" s="2" t="s">
        <v>0</v>
      </c>
      <c r="E2" s="19">
        <f>B3*211*90</f>
        <v>12248550</v>
      </c>
      <c r="F2" s="2"/>
      <c r="G2" s="204"/>
      <c r="H2" s="204"/>
      <c r="I2" s="204"/>
      <c r="J2" s="56"/>
      <c r="K2" s="56"/>
      <c r="L2" s="63"/>
      <c r="M2" s="51"/>
    </row>
    <row r="3" spans="1:16">
      <c r="A3" s="19" t="s">
        <v>1</v>
      </c>
      <c r="B3" s="6">
        <v>645</v>
      </c>
      <c r="C3" s="2"/>
      <c r="D3" s="2" t="s">
        <v>2</v>
      </c>
      <c r="E3" s="19">
        <f>E2*2/3</f>
        <v>8165700</v>
      </c>
      <c r="F3" s="2"/>
      <c r="G3" s="205"/>
      <c r="H3" s="205"/>
      <c r="I3" s="205"/>
      <c r="J3" s="57"/>
      <c r="K3" s="57"/>
      <c r="L3" s="63"/>
      <c r="M3" s="51"/>
    </row>
    <row r="4" spans="1:16">
      <c r="A4" s="7"/>
      <c r="B4" s="5"/>
      <c r="C4" s="2"/>
      <c r="D4" s="2" t="s">
        <v>3</v>
      </c>
      <c r="E4" s="19">
        <f>SUM(E2:E3)</f>
        <v>20414250</v>
      </c>
      <c r="F4" s="2"/>
      <c r="G4" s="205"/>
      <c r="H4" s="205"/>
      <c r="I4" s="205"/>
      <c r="J4" s="57"/>
      <c r="K4" s="57"/>
      <c r="L4" s="63"/>
      <c r="M4" s="51"/>
    </row>
    <row r="5" spans="1:16">
      <c r="A5" s="7"/>
      <c r="B5" s="5"/>
      <c r="C5" s="2"/>
      <c r="D5" s="2" t="s">
        <v>4</v>
      </c>
      <c r="E5" s="19">
        <f>E4*0.06</f>
        <v>1224855</v>
      </c>
      <c r="F5" s="2"/>
      <c r="G5" s="205"/>
      <c r="H5" s="205"/>
      <c r="I5" s="205"/>
      <c r="J5" s="57"/>
      <c r="K5" s="57"/>
      <c r="L5" s="63"/>
      <c r="M5" s="51"/>
    </row>
    <row r="6" spans="1:16">
      <c r="A6" s="7"/>
      <c r="B6" s="5"/>
      <c r="C6" s="2"/>
      <c r="D6" s="2" t="s">
        <v>5</v>
      </c>
      <c r="E6" s="19">
        <f>E5+E4</f>
        <v>21639105</v>
      </c>
      <c r="F6" s="2"/>
      <c r="G6" s="206"/>
      <c r="H6" s="206"/>
      <c r="I6" s="206"/>
      <c r="J6" s="58"/>
      <c r="K6" s="102"/>
      <c r="L6" s="63"/>
      <c r="M6" s="51"/>
    </row>
    <row r="7" spans="1:16" ht="21" customHeight="1">
      <c r="A7" s="187" t="s">
        <v>18</v>
      </c>
      <c r="B7" s="186" t="s">
        <v>14</v>
      </c>
      <c r="C7" s="184" t="s">
        <v>147</v>
      </c>
      <c r="D7" s="193" t="s">
        <v>7</v>
      </c>
      <c r="E7" s="194"/>
      <c r="F7" s="184"/>
      <c r="G7" s="186" t="s">
        <v>153</v>
      </c>
      <c r="H7" s="186"/>
      <c r="I7" s="186"/>
      <c r="J7" s="186"/>
      <c r="K7" s="186"/>
      <c r="L7" s="202" t="s">
        <v>144</v>
      </c>
      <c r="M7" s="200" t="s">
        <v>117</v>
      </c>
    </row>
    <row r="8" spans="1:16" ht="27" customHeight="1">
      <c r="A8" s="187"/>
      <c r="B8" s="186"/>
      <c r="C8" s="185"/>
      <c r="D8" s="195"/>
      <c r="E8" s="196"/>
      <c r="F8" s="185"/>
      <c r="G8" s="103" t="s">
        <v>148</v>
      </c>
      <c r="H8" s="103" t="s">
        <v>149</v>
      </c>
      <c r="I8" s="103" t="s">
        <v>150</v>
      </c>
      <c r="J8" s="103" t="s">
        <v>151</v>
      </c>
      <c r="K8" s="103" t="s">
        <v>152</v>
      </c>
      <c r="L8" s="203"/>
      <c r="M8" s="201"/>
    </row>
    <row r="9" spans="1:16" ht="14.4" customHeight="1">
      <c r="A9" s="189" t="s">
        <v>40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60"/>
    </row>
    <row r="10" spans="1:16" ht="28.8">
      <c r="A10" s="66" t="s">
        <v>25</v>
      </c>
      <c r="B10" s="50">
        <v>13550</v>
      </c>
      <c r="C10" s="83" t="s">
        <v>11</v>
      </c>
      <c r="D10" s="207" t="s">
        <v>316</v>
      </c>
      <c r="E10" s="208"/>
      <c r="F10" s="209"/>
      <c r="G10" s="82">
        <v>20</v>
      </c>
      <c r="H10" s="21">
        <v>10</v>
      </c>
      <c r="I10" s="21">
        <v>2</v>
      </c>
      <c r="J10" s="21">
        <f>I10*H10*G10</f>
        <v>400</v>
      </c>
      <c r="K10" s="93" t="s">
        <v>258</v>
      </c>
      <c r="L10" s="138">
        <f>((B10*211)+(B10*211)*2/3)/100000</f>
        <v>47.650833333333331</v>
      </c>
      <c r="M10" s="94" t="s">
        <v>439</v>
      </c>
      <c r="N10">
        <f>((B10*194)+((B10*194)*1/9))/100000</f>
        <v>29.207777777777778</v>
      </c>
    </row>
    <row r="11" spans="1:16">
      <c r="A11" s="190" t="s">
        <v>8</v>
      </c>
      <c r="B11" s="127">
        <v>3000</v>
      </c>
      <c r="C11" s="15" t="s">
        <v>38</v>
      </c>
      <c r="D11" s="49" t="s">
        <v>182</v>
      </c>
      <c r="E11" s="29">
        <v>149</v>
      </c>
      <c r="F11" s="49" t="s">
        <v>183</v>
      </c>
      <c r="G11" s="29">
        <v>1000</v>
      </c>
      <c r="H11" s="21">
        <v>1.5</v>
      </c>
      <c r="I11" s="21">
        <v>1</v>
      </c>
      <c r="J11" s="21">
        <f t="shared" ref="J11:J14" si="0">I11*H11*G11</f>
        <v>1500</v>
      </c>
      <c r="K11" s="93" t="s">
        <v>258</v>
      </c>
      <c r="L11" s="138">
        <f>((B11*211)+(B11*211)*2/3)/100000</f>
        <v>10.55</v>
      </c>
      <c r="M11" s="105" t="s">
        <v>440</v>
      </c>
      <c r="N11">
        <f t="shared" ref="N11:N39" si="1">((B11*194)+((B11*194)*1/9))/100000</f>
        <v>6.4666666666666659</v>
      </c>
      <c r="P11">
        <f>10000/1000</f>
        <v>10</v>
      </c>
    </row>
    <row r="12" spans="1:16">
      <c r="A12" s="191"/>
      <c r="B12" s="127">
        <v>3000</v>
      </c>
      <c r="C12" s="15" t="s">
        <v>38</v>
      </c>
      <c r="D12" s="49" t="s">
        <v>184</v>
      </c>
      <c r="E12" s="29">
        <v>260</v>
      </c>
      <c r="F12" s="49" t="s">
        <v>183</v>
      </c>
      <c r="G12" s="29">
        <v>1000</v>
      </c>
      <c r="H12" s="21">
        <v>1.5</v>
      </c>
      <c r="I12" s="21">
        <v>1</v>
      </c>
      <c r="J12" s="21">
        <f t="shared" si="0"/>
        <v>1500</v>
      </c>
      <c r="K12" s="93" t="s">
        <v>258</v>
      </c>
      <c r="L12" s="138">
        <f t="shared" ref="L12:L14" si="2">((B12*211)+(B12*211)*2/3)/100000</f>
        <v>10.55</v>
      </c>
      <c r="M12" s="105"/>
      <c r="N12">
        <f t="shared" si="1"/>
        <v>6.4666666666666659</v>
      </c>
    </row>
    <row r="13" spans="1:16">
      <c r="A13" s="191"/>
      <c r="B13" s="127">
        <v>3000</v>
      </c>
      <c r="C13" s="15" t="s">
        <v>38</v>
      </c>
      <c r="D13" s="49" t="s">
        <v>185</v>
      </c>
      <c r="E13" s="29"/>
      <c r="F13" s="49" t="s">
        <v>173</v>
      </c>
      <c r="G13" s="29">
        <v>1000</v>
      </c>
      <c r="H13" s="21">
        <v>1.5</v>
      </c>
      <c r="I13" s="21">
        <v>1</v>
      </c>
      <c r="J13" s="21">
        <f t="shared" si="0"/>
        <v>1500</v>
      </c>
      <c r="K13" s="93" t="s">
        <v>258</v>
      </c>
      <c r="L13" s="138">
        <f t="shared" si="2"/>
        <v>10.55</v>
      </c>
      <c r="M13" s="105"/>
      <c r="N13">
        <f t="shared" si="1"/>
        <v>6.4666666666666659</v>
      </c>
    </row>
    <row r="14" spans="1:16">
      <c r="A14" s="192"/>
      <c r="B14" s="127">
        <v>3000</v>
      </c>
      <c r="C14" s="15" t="s">
        <v>38</v>
      </c>
      <c r="D14" s="49" t="s">
        <v>186</v>
      </c>
      <c r="E14" s="29">
        <v>263</v>
      </c>
      <c r="F14" s="49" t="s">
        <v>173</v>
      </c>
      <c r="G14" s="29">
        <v>1000</v>
      </c>
      <c r="H14" s="21">
        <v>1.5</v>
      </c>
      <c r="I14" s="21">
        <v>1</v>
      </c>
      <c r="J14" s="21">
        <f t="shared" si="0"/>
        <v>1500</v>
      </c>
      <c r="K14" s="93" t="s">
        <v>258</v>
      </c>
      <c r="L14" s="138">
        <f t="shared" si="2"/>
        <v>10.55</v>
      </c>
      <c r="M14" s="105"/>
      <c r="N14">
        <f t="shared" si="1"/>
        <v>6.4666666666666659</v>
      </c>
    </row>
    <row r="15" spans="1:16">
      <c r="A15" s="188" t="s">
        <v>39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61"/>
      <c r="N15">
        <f t="shared" si="1"/>
        <v>0</v>
      </c>
    </row>
    <row r="16" spans="1:16" ht="14.4" customHeight="1">
      <c r="A16" s="211" t="s">
        <v>41</v>
      </c>
      <c r="B16" s="127">
        <v>3000</v>
      </c>
      <c r="C16" s="12" t="s">
        <v>48</v>
      </c>
      <c r="D16" s="49" t="s">
        <v>187</v>
      </c>
      <c r="E16" s="29">
        <v>15</v>
      </c>
      <c r="F16" s="49" t="s">
        <v>173</v>
      </c>
      <c r="G16" s="212" t="s">
        <v>191</v>
      </c>
      <c r="H16" s="212"/>
      <c r="I16" s="212"/>
      <c r="J16" s="212"/>
      <c r="K16" s="212"/>
      <c r="L16" s="139">
        <f>((B16*211)+(B16*211*2/3))/100000</f>
        <v>10.55</v>
      </c>
      <c r="M16" s="134" t="s">
        <v>441</v>
      </c>
      <c r="N16">
        <f t="shared" si="1"/>
        <v>6.4666666666666659</v>
      </c>
    </row>
    <row r="17" spans="1:16" ht="15.6">
      <c r="A17" s="211"/>
      <c r="B17" s="127">
        <v>3000</v>
      </c>
      <c r="C17" s="12" t="s">
        <v>48</v>
      </c>
      <c r="D17" s="49" t="s">
        <v>188</v>
      </c>
      <c r="E17" s="29">
        <v>124</v>
      </c>
      <c r="F17" s="49" t="s">
        <v>173</v>
      </c>
      <c r="G17" s="212" t="s">
        <v>192</v>
      </c>
      <c r="H17" s="212"/>
      <c r="I17" s="212"/>
      <c r="J17" s="212"/>
      <c r="K17" s="212"/>
      <c r="L17" s="146">
        <f t="shared" ref="L17:L36" si="3">((B17*211)+(B17*211*2/3))/100000</f>
        <v>10.55</v>
      </c>
      <c r="M17" s="94"/>
      <c r="N17">
        <f t="shared" si="1"/>
        <v>6.4666666666666659</v>
      </c>
    </row>
    <row r="18" spans="1:16" ht="15.6">
      <c r="A18" s="211"/>
      <c r="B18" s="127">
        <v>3000</v>
      </c>
      <c r="C18" s="12" t="s">
        <v>48</v>
      </c>
      <c r="D18" s="49" t="s">
        <v>189</v>
      </c>
      <c r="E18" s="29">
        <v>370</v>
      </c>
      <c r="F18" s="49" t="s">
        <v>174</v>
      </c>
      <c r="G18" s="212" t="s">
        <v>178</v>
      </c>
      <c r="H18" s="212"/>
      <c r="I18" s="212"/>
      <c r="J18" s="212"/>
      <c r="K18" s="212"/>
      <c r="L18" s="146">
        <f t="shared" si="3"/>
        <v>10.55</v>
      </c>
      <c r="M18" s="94"/>
      <c r="N18">
        <f t="shared" si="1"/>
        <v>6.4666666666666659</v>
      </c>
    </row>
    <row r="19" spans="1:16" ht="14.4" customHeight="1">
      <c r="A19" s="211"/>
      <c r="B19" s="127">
        <v>3000</v>
      </c>
      <c r="C19" s="12" t="s">
        <v>48</v>
      </c>
      <c r="D19" s="49" t="s">
        <v>190</v>
      </c>
      <c r="E19" s="29">
        <v>299</v>
      </c>
      <c r="F19" s="49" t="s">
        <v>174</v>
      </c>
      <c r="G19" s="212" t="s">
        <v>193</v>
      </c>
      <c r="H19" s="212"/>
      <c r="I19" s="212"/>
      <c r="J19" s="212"/>
      <c r="K19" s="212"/>
      <c r="L19" s="146">
        <f t="shared" si="3"/>
        <v>10.55</v>
      </c>
      <c r="M19" s="136"/>
      <c r="N19">
        <f t="shared" si="1"/>
        <v>6.4666666666666659</v>
      </c>
    </row>
    <row r="20" spans="1:16" ht="15" customHeight="1">
      <c r="A20" s="211" t="s">
        <v>46</v>
      </c>
      <c r="B20" s="127">
        <v>780</v>
      </c>
      <c r="C20" s="13" t="s">
        <v>154</v>
      </c>
      <c r="D20" s="49" t="s">
        <v>155</v>
      </c>
      <c r="E20" s="29">
        <v>1181</v>
      </c>
      <c r="F20" s="49" t="s">
        <v>172</v>
      </c>
      <c r="G20" s="29">
        <v>12</v>
      </c>
      <c r="H20" s="29">
        <v>3</v>
      </c>
      <c r="I20" s="29">
        <v>1.5</v>
      </c>
      <c r="J20" s="93">
        <f>I20*H20*G20</f>
        <v>54</v>
      </c>
      <c r="K20" s="93" t="s">
        <v>258</v>
      </c>
      <c r="L20" s="146">
        <f t="shared" si="3"/>
        <v>2.7429999999999999</v>
      </c>
      <c r="M20" s="94" t="s">
        <v>442</v>
      </c>
      <c r="N20">
        <f t="shared" si="1"/>
        <v>1.6813333333333333</v>
      </c>
    </row>
    <row r="21" spans="1:16" ht="15" customHeight="1">
      <c r="A21" s="211"/>
      <c r="B21" s="127">
        <v>780</v>
      </c>
      <c r="C21" s="13" t="s">
        <v>154</v>
      </c>
      <c r="D21" s="49" t="s">
        <v>156</v>
      </c>
      <c r="E21" s="29">
        <v>294</v>
      </c>
      <c r="F21" s="49" t="s">
        <v>173</v>
      </c>
      <c r="G21" s="29">
        <v>30</v>
      </c>
      <c r="H21" s="29">
        <v>3</v>
      </c>
      <c r="I21" s="29">
        <v>1.5</v>
      </c>
      <c r="J21" s="93">
        <f t="shared" ref="J21:J24" si="4">I21*H21*G21</f>
        <v>135</v>
      </c>
      <c r="K21" s="93" t="s">
        <v>258</v>
      </c>
      <c r="L21" s="146">
        <f t="shared" si="3"/>
        <v>2.7429999999999999</v>
      </c>
      <c r="M21" s="94"/>
      <c r="N21">
        <f t="shared" si="1"/>
        <v>1.6813333333333333</v>
      </c>
      <c r="P21">
        <f>780*194</f>
        <v>151320</v>
      </c>
    </row>
    <row r="22" spans="1:16" ht="15" customHeight="1">
      <c r="A22" s="211"/>
      <c r="B22" s="127">
        <v>780</v>
      </c>
      <c r="C22" s="13" t="s">
        <v>154</v>
      </c>
      <c r="D22" s="49" t="s">
        <v>157</v>
      </c>
      <c r="E22" s="29">
        <v>93</v>
      </c>
      <c r="F22" s="49" t="s">
        <v>173</v>
      </c>
      <c r="G22" s="29">
        <v>51</v>
      </c>
      <c r="H22" s="29">
        <v>3</v>
      </c>
      <c r="I22" s="29">
        <v>1.5</v>
      </c>
      <c r="J22" s="93">
        <f t="shared" si="4"/>
        <v>229.5</v>
      </c>
      <c r="K22" s="93" t="s">
        <v>258</v>
      </c>
      <c r="L22" s="146">
        <f t="shared" si="3"/>
        <v>2.7429999999999999</v>
      </c>
      <c r="M22" s="94"/>
      <c r="N22">
        <f t="shared" si="1"/>
        <v>1.6813333333333333</v>
      </c>
    </row>
    <row r="23" spans="1:16" ht="15" customHeight="1">
      <c r="A23" s="211"/>
      <c r="B23" s="127">
        <v>780</v>
      </c>
      <c r="C23" s="13" t="s">
        <v>154</v>
      </c>
      <c r="D23" s="49" t="s">
        <v>158</v>
      </c>
      <c r="E23" s="29"/>
      <c r="F23" s="49" t="s">
        <v>172</v>
      </c>
      <c r="G23" s="29">
        <v>32</v>
      </c>
      <c r="H23" s="29">
        <v>3</v>
      </c>
      <c r="I23" s="29">
        <v>1.5</v>
      </c>
      <c r="J23" s="93">
        <f t="shared" si="4"/>
        <v>144</v>
      </c>
      <c r="K23" s="93" t="s">
        <v>258</v>
      </c>
      <c r="L23" s="146">
        <f t="shared" si="3"/>
        <v>2.7429999999999999</v>
      </c>
      <c r="M23" s="94"/>
      <c r="N23">
        <f t="shared" si="1"/>
        <v>1.6813333333333333</v>
      </c>
    </row>
    <row r="24" spans="1:16" ht="15" customHeight="1">
      <c r="A24" s="211"/>
      <c r="B24" s="127">
        <v>780</v>
      </c>
      <c r="C24" s="13" t="s">
        <v>154</v>
      </c>
      <c r="D24" s="49" t="s">
        <v>159</v>
      </c>
      <c r="E24" s="29">
        <v>76</v>
      </c>
      <c r="F24" s="49" t="s">
        <v>174</v>
      </c>
      <c r="G24" s="29">
        <v>37</v>
      </c>
      <c r="H24" s="29">
        <v>3</v>
      </c>
      <c r="I24" s="29">
        <v>1.5</v>
      </c>
      <c r="J24" s="93">
        <f t="shared" si="4"/>
        <v>166.5</v>
      </c>
      <c r="K24" s="93" t="s">
        <v>258</v>
      </c>
      <c r="L24" s="146">
        <f t="shared" si="3"/>
        <v>2.7429999999999999</v>
      </c>
      <c r="M24" s="94"/>
      <c r="N24">
        <f t="shared" si="1"/>
        <v>1.6813333333333333</v>
      </c>
    </row>
    <row r="25" spans="1:16" ht="15" customHeight="1">
      <c r="A25" s="211"/>
      <c r="B25" s="127">
        <v>780</v>
      </c>
      <c r="C25" s="13" t="s">
        <v>154</v>
      </c>
      <c r="D25" s="49" t="s">
        <v>160</v>
      </c>
      <c r="E25" s="29">
        <v>15</v>
      </c>
      <c r="F25" s="49" t="s">
        <v>173</v>
      </c>
      <c r="G25" s="197" t="s">
        <v>177</v>
      </c>
      <c r="H25" s="198"/>
      <c r="I25" s="198"/>
      <c r="J25" s="198"/>
      <c r="K25" s="199"/>
      <c r="L25" s="146">
        <f t="shared" si="3"/>
        <v>2.7429999999999999</v>
      </c>
      <c r="M25" s="94"/>
      <c r="N25">
        <f t="shared" si="1"/>
        <v>1.6813333333333333</v>
      </c>
    </row>
    <row r="26" spans="1:16" ht="15" customHeight="1">
      <c r="A26" s="211"/>
      <c r="B26" s="127">
        <v>780</v>
      </c>
      <c r="C26" s="13" t="s">
        <v>154</v>
      </c>
      <c r="D26" s="49" t="s">
        <v>161</v>
      </c>
      <c r="E26" s="29">
        <v>250</v>
      </c>
      <c r="F26" s="49" t="s">
        <v>173</v>
      </c>
      <c r="G26" s="197" t="s">
        <v>178</v>
      </c>
      <c r="H26" s="198"/>
      <c r="I26" s="198"/>
      <c r="J26" s="198"/>
      <c r="K26" s="199"/>
      <c r="L26" s="146">
        <f t="shared" si="3"/>
        <v>2.7429999999999999</v>
      </c>
      <c r="M26" s="94"/>
      <c r="N26">
        <f t="shared" si="1"/>
        <v>1.6813333333333333</v>
      </c>
      <c r="P26">
        <v>47</v>
      </c>
    </row>
    <row r="27" spans="1:16" ht="15" customHeight="1">
      <c r="A27" s="211"/>
      <c r="B27" s="127">
        <v>780</v>
      </c>
      <c r="C27" s="13" t="s">
        <v>154</v>
      </c>
      <c r="D27" s="49" t="s">
        <v>162</v>
      </c>
      <c r="E27" s="29"/>
      <c r="F27" s="49" t="s">
        <v>174</v>
      </c>
      <c r="G27" s="197" t="s">
        <v>179</v>
      </c>
      <c r="H27" s="198"/>
      <c r="I27" s="198"/>
      <c r="J27" s="198"/>
      <c r="K27" s="199"/>
      <c r="L27" s="146">
        <f t="shared" si="3"/>
        <v>2.7429999999999999</v>
      </c>
      <c r="M27" s="94"/>
      <c r="N27">
        <f t="shared" si="1"/>
        <v>1.6813333333333333</v>
      </c>
      <c r="P27" s="137">
        <f>L20+L21+L22+L23+L24+L25+L26+L27+L28+L29+L30+L31+L32+L33+L34+L35+L36</f>
        <v>46.631</v>
      </c>
    </row>
    <row r="28" spans="1:16" ht="15" customHeight="1">
      <c r="A28" s="211"/>
      <c r="B28" s="127">
        <v>780</v>
      </c>
      <c r="C28" s="13" t="s">
        <v>154</v>
      </c>
      <c r="D28" s="49" t="s">
        <v>163</v>
      </c>
      <c r="E28" s="29">
        <v>196</v>
      </c>
      <c r="F28" s="49" t="s">
        <v>174</v>
      </c>
      <c r="G28" s="197" t="s">
        <v>180</v>
      </c>
      <c r="H28" s="198"/>
      <c r="I28" s="198"/>
      <c r="J28" s="198"/>
      <c r="K28" s="199"/>
      <c r="L28" s="146">
        <f t="shared" si="3"/>
        <v>2.7429999999999999</v>
      </c>
      <c r="M28" s="94"/>
      <c r="N28">
        <f t="shared" si="1"/>
        <v>1.6813333333333333</v>
      </c>
    </row>
    <row r="29" spans="1:16" ht="15" customHeight="1">
      <c r="A29" s="211"/>
      <c r="B29" s="127">
        <v>780</v>
      </c>
      <c r="C29" s="13" t="s">
        <v>154</v>
      </c>
      <c r="D29" s="49" t="s">
        <v>164</v>
      </c>
      <c r="E29" s="29">
        <v>26</v>
      </c>
      <c r="F29" s="49" t="s">
        <v>173</v>
      </c>
      <c r="G29" s="29">
        <v>6</v>
      </c>
      <c r="H29" s="29">
        <v>3</v>
      </c>
      <c r="I29" s="29"/>
      <c r="J29" s="93">
        <f>H29*G29</f>
        <v>18</v>
      </c>
      <c r="K29" s="93" t="s">
        <v>467</v>
      </c>
      <c r="L29" s="146">
        <f t="shared" si="3"/>
        <v>2.7429999999999999</v>
      </c>
      <c r="M29" s="94"/>
      <c r="N29">
        <f t="shared" si="1"/>
        <v>1.6813333333333333</v>
      </c>
    </row>
    <row r="30" spans="1:16" ht="15" customHeight="1">
      <c r="A30" s="211"/>
      <c r="B30" s="127">
        <v>780</v>
      </c>
      <c r="C30" s="13" t="s">
        <v>154</v>
      </c>
      <c r="D30" s="49" t="s">
        <v>165</v>
      </c>
      <c r="E30" s="29"/>
      <c r="F30" s="49" t="s">
        <v>173</v>
      </c>
      <c r="G30" s="197" t="s">
        <v>181</v>
      </c>
      <c r="H30" s="198"/>
      <c r="I30" s="198"/>
      <c r="J30" s="198"/>
      <c r="K30" s="199"/>
      <c r="L30" s="146">
        <f t="shared" si="3"/>
        <v>2.7429999999999999</v>
      </c>
      <c r="M30" s="94"/>
      <c r="N30">
        <f t="shared" si="1"/>
        <v>1.6813333333333333</v>
      </c>
    </row>
    <row r="31" spans="1:16" ht="15" customHeight="1">
      <c r="A31" s="211"/>
      <c r="B31" s="127">
        <v>780</v>
      </c>
      <c r="C31" s="13" t="s">
        <v>154</v>
      </c>
      <c r="D31" s="49" t="s">
        <v>166</v>
      </c>
      <c r="E31" s="29">
        <v>1211</v>
      </c>
      <c r="F31" s="49" t="s">
        <v>174</v>
      </c>
      <c r="G31" s="29">
        <v>12</v>
      </c>
      <c r="H31" s="29">
        <v>9</v>
      </c>
      <c r="I31" s="29">
        <v>1.5</v>
      </c>
      <c r="J31" s="93">
        <f>I31*H31*G31</f>
        <v>162</v>
      </c>
      <c r="K31" s="93" t="s">
        <v>258</v>
      </c>
      <c r="L31" s="146">
        <f t="shared" si="3"/>
        <v>2.7429999999999999</v>
      </c>
      <c r="M31" s="94"/>
      <c r="N31">
        <f t="shared" si="1"/>
        <v>1.6813333333333333</v>
      </c>
    </row>
    <row r="32" spans="1:16" ht="15" customHeight="1">
      <c r="A32" s="211"/>
      <c r="B32" s="127">
        <v>780</v>
      </c>
      <c r="C32" s="13" t="s">
        <v>154</v>
      </c>
      <c r="D32" s="49" t="s">
        <v>167</v>
      </c>
      <c r="E32" s="29">
        <v>256</v>
      </c>
      <c r="F32" s="49" t="s">
        <v>175</v>
      </c>
      <c r="G32" s="29">
        <v>70</v>
      </c>
      <c r="H32" s="29"/>
      <c r="I32" s="29">
        <v>1.5</v>
      </c>
      <c r="J32" s="93">
        <f>I32*G32</f>
        <v>105</v>
      </c>
      <c r="K32" s="93" t="s">
        <v>467</v>
      </c>
      <c r="L32" s="146">
        <f t="shared" si="3"/>
        <v>2.7429999999999999</v>
      </c>
      <c r="M32" s="94"/>
      <c r="N32">
        <f t="shared" si="1"/>
        <v>1.6813333333333333</v>
      </c>
      <c r="P32">
        <f>47/17</f>
        <v>2.7647058823529411</v>
      </c>
    </row>
    <row r="33" spans="1:14" ht="15" customHeight="1">
      <c r="A33" s="211"/>
      <c r="B33" s="127">
        <v>780</v>
      </c>
      <c r="C33" s="13" t="s">
        <v>154</v>
      </c>
      <c r="D33" s="49" t="s">
        <v>168</v>
      </c>
      <c r="E33" s="29"/>
      <c r="F33" s="49" t="s">
        <v>174</v>
      </c>
      <c r="G33" s="197" t="s">
        <v>178</v>
      </c>
      <c r="H33" s="198"/>
      <c r="I33" s="198"/>
      <c r="J33" s="198"/>
      <c r="K33" s="199"/>
      <c r="L33" s="146">
        <f t="shared" si="3"/>
        <v>2.7429999999999999</v>
      </c>
      <c r="M33" s="94"/>
      <c r="N33">
        <f t="shared" si="1"/>
        <v>1.6813333333333333</v>
      </c>
    </row>
    <row r="34" spans="1:14" ht="15" customHeight="1">
      <c r="A34" s="211"/>
      <c r="B34" s="127">
        <v>780</v>
      </c>
      <c r="C34" s="13" t="s">
        <v>154</v>
      </c>
      <c r="D34" s="49" t="s">
        <v>169</v>
      </c>
      <c r="E34" s="29">
        <v>1164</v>
      </c>
      <c r="F34" s="49" t="s">
        <v>176</v>
      </c>
      <c r="G34" s="197" t="s">
        <v>180</v>
      </c>
      <c r="H34" s="198"/>
      <c r="I34" s="198"/>
      <c r="J34" s="198"/>
      <c r="K34" s="199"/>
      <c r="L34" s="146">
        <f t="shared" si="3"/>
        <v>2.7429999999999999</v>
      </c>
      <c r="M34" s="94"/>
      <c r="N34">
        <f t="shared" si="1"/>
        <v>1.6813333333333333</v>
      </c>
    </row>
    <row r="35" spans="1:14" ht="15" customHeight="1">
      <c r="A35" s="211"/>
      <c r="B35" s="127">
        <v>780</v>
      </c>
      <c r="C35" s="13" t="s">
        <v>154</v>
      </c>
      <c r="D35" s="49" t="s">
        <v>170</v>
      </c>
      <c r="E35" s="29">
        <v>961</v>
      </c>
      <c r="F35" s="49" t="s">
        <v>172</v>
      </c>
      <c r="G35" s="29">
        <v>3</v>
      </c>
      <c r="H35" s="29">
        <v>3</v>
      </c>
      <c r="I35" s="29"/>
      <c r="J35" s="93">
        <f>H35*G35</f>
        <v>9</v>
      </c>
      <c r="K35" s="93" t="s">
        <v>467</v>
      </c>
      <c r="L35" s="146">
        <f t="shared" si="3"/>
        <v>2.7429999999999999</v>
      </c>
      <c r="M35" s="94"/>
      <c r="N35">
        <f t="shared" si="1"/>
        <v>1.6813333333333333</v>
      </c>
    </row>
    <row r="36" spans="1:14" ht="15" customHeight="1">
      <c r="A36" s="211"/>
      <c r="B36" s="177">
        <v>780</v>
      </c>
      <c r="C36" s="182" t="s">
        <v>154</v>
      </c>
      <c r="D36" s="181" t="s">
        <v>171</v>
      </c>
      <c r="E36" s="29">
        <v>66</v>
      </c>
      <c r="F36" s="49" t="s">
        <v>173</v>
      </c>
      <c r="G36" s="29">
        <v>10</v>
      </c>
      <c r="H36" s="29">
        <v>7</v>
      </c>
      <c r="I36" s="29"/>
      <c r="J36" s="93">
        <f>H36*G36</f>
        <v>70</v>
      </c>
      <c r="K36" s="93" t="s">
        <v>467</v>
      </c>
      <c r="L36" s="146">
        <f t="shared" si="3"/>
        <v>2.7429999999999999</v>
      </c>
      <c r="M36" s="94"/>
      <c r="N36">
        <f t="shared" si="1"/>
        <v>1.6813333333333333</v>
      </c>
    </row>
    <row r="37" spans="1:14">
      <c r="A37" s="210" t="s">
        <v>77</v>
      </c>
      <c r="B37" s="210"/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0"/>
      <c r="N37">
        <f t="shared" si="1"/>
        <v>0</v>
      </c>
    </row>
    <row r="38" spans="1:14" ht="43.2">
      <c r="A38" s="68" t="s">
        <v>79</v>
      </c>
      <c r="B38" s="50">
        <v>2000</v>
      </c>
      <c r="C38" s="92" t="s">
        <v>314</v>
      </c>
      <c r="D38" s="207" t="s">
        <v>316</v>
      </c>
      <c r="E38" s="208"/>
      <c r="F38" s="209"/>
      <c r="G38" s="91">
        <v>2000</v>
      </c>
      <c r="H38" s="21">
        <v>1.2</v>
      </c>
      <c r="I38" s="21"/>
      <c r="J38" s="21">
        <f>H38*G38</f>
        <v>2400</v>
      </c>
      <c r="K38" s="93" t="s">
        <v>467</v>
      </c>
      <c r="L38" s="138">
        <f>((B38*211)+(B38*211*2/3))/100000</f>
        <v>7.0333333333333323</v>
      </c>
      <c r="M38" s="94" t="s">
        <v>443</v>
      </c>
      <c r="N38">
        <f t="shared" si="1"/>
        <v>4.3111111111111109</v>
      </c>
    </row>
    <row r="39" spans="1:14" ht="43.2">
      <c r="A39" s="68" t="s">
        <v>81</v>
      </c>
      <c r="B39" s="50">
        <v>5240</v>
      </c>
      <c r="C39" s="92" t="s">
        <v>315</v>
      </c>
      <c r="D39" s="207" t="s">
        <v>316</v>
      </c>
      <c r="E39" s="208"/>
      <c r="F39" s="209"/>
      <c r="G39" s="91">
        <v>30</v>
      </c>
      <c r="H39" s="21">
        <v>3</v>
      </c>
      <c r="I39" s="21"/>
      <c r="J39" s="21">
        <f>H39*G39</f>
        <v>90</v>
      </c>
      <c r="K39" s="93" t="s">
        <v>467</v>
      </c>
      <c r="L39" s="138">
        <f>((B39*211)+(B39*211*2/3))/100000</f>
        <v>18.427333333333333</v>
      </c>
      <c r="M39" s="94" t="s">
        <v>444</v>
      </c>
      <c r="N39">
        <f t="shared" si="1"/>
        <v>11.29511111111111</v>
      </c>
    </row>
    <row r="40" spans="1:14">
      <c r="B40" s="10">
        <f>B36+B35+B34+B33+B32+B31+B30+B29+B28+B27+B26+B25+B24+B23+B22+B21+B20+B19+B18+B17+B16+B14+B13+B12+B11+B39+B38+B10</f>
        <v>58050</v>
      </c>
      <c r="L40" s="64">
        <f>L36+L35+L34+L33+L32+L31+L30+L29+L28+L27+L26+L25+L24+L23+L22+L21+L20+L19+L18+L17+L16+L14+L13+L12+L11+L38+L39+L10</f>
        <v>204.14249999999998</v>
      </c>
      <c r="N40">
        <f>SUM(N10:N39)</f>
        <v>125.12999999999992</v>
      </c>
    </row>
    <row r="41" spans="1:14">
      <c r="B41" s="26">
        <f>B3*90</f>
        <v>58050</v>
      </c>
      <c r="L41" s="65">
        <f>E4/100000</f>
        <v>204.14250000000001</v>
      </c>
    </row>
  </sheetData>
  <mergeCells count="32">
    <mergeCell ref="G34:K34"/>
    <mergeCell ref="D39:F39"/>
    <mergeCell ref="D38:F38"/>
    <mergeCell ref="D10:F10"/>
    <mergeCell ref="A37:L37"/>
    <mergeCell ref="A20:A36"/>
    <mergeCell ref="A16:A19"/>
    <mergeCell ref="G16:K16"/>
    <mergeCell ref="G17:K17"/>
    <mergeCell ref="G18:K18"/>
    <mergeCell ref="G19:K19"/>
    <mergeCell ref="G25:K25"/>
    <mergeCell ref="G26:K26"/>
    <mergeCell ref="G27:K27"/>
    <mergeCell ref="G28:K28"/>
    <mergeCell ref="G30:K30"/>
    <mergeCell ref="G33:K33"/>
    <mergeCell ref="M7:M8"/>
    <mergeCell ref="L7:L8"/>
    <mergeCell ref="G2:I2"/>
    <mergeCell ref="G3:I3"/>
    <mergeCell ref="G4:I4"/>
    <mergeCell ref="G5:I5"/>
    <mergeCell ref="G6:I6"/>
    <mergeCell ref="G7:K7"/>
    <mergeCell ref="C7:C8"/>
    <mergeCell ref="B7:B8"/>
    <mergeCell ref="A7:A8"/>
    <mergeCell ref="A15:L15"/>
    <mergeCell ref="A9:L9"/>
    <mergeCell ref="A11:A14"/>
    <mergeCell ref="D7:F8"/>
  </mergeCells>
  <printOptions horizontalCentered="1"/>
  <pageMargins left="0.25" right="0.25" top="1.125" bottom="0.75" header="0.3" footer="0.3"/>
  <pageSetup paperSize="9" orientation="landscape" horizontalDpi="300" verticalDpi="300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50"/>
  <sheetViews>
    <sheetView topLeftCell="A19" workbookViewId="0">
      <selection activeCell="D17" sqref="D17:F17"/>
    </sheetView>
  </sheetViews>
  <sheetFormatPr defaultRowHeight="14.4"/>
  <cols>
    <col min="1" max="1" width="17" style="9" customWidth="1"/>
    <col min="2" max="2" width="9.6640625" style="10" customWidth="1"/>
    <col min="3" max="3" width="24.5546875" customWidth="1"/>
    <col min="4" max="4" width="25.88671875" style="3" customWidth="1"/>
    <col min="5" max="5" width="9.33203125" style="3" customWidth="1"/>
    <col min="6" max="6" width="18.44140625" style="3" customWidth="1"/>
    <col min="7" max="7" width="5" style="18" customWidth="1"/>
    <col min="8" max="9" width="4.5546875" style="18" customWidth="1"/>
    <col min="10" max="10" width="6.44140625" style="18" customWidth="1"/>
    <col min="11" max="11" width="5.109375" style="18" customWidth="1"/>
    <col min="12" max="12" width="8.88671875" style="59"/>
    <col min="13" max="13" width="22.88671875" bestFit="1" customWidth="1"/>
  </cols>
  <sheetData>
    <row r="1" spans="1:13">
      <c r="A1" s="19" t="s">
        <v>243</v>
      </c>
      <c r="B1" s="6"/>
      <c r="C1" s="16"/>
      <c r="D1" s="16" t="s">
        <v>146</v>
      </c>
      <c r="E1" s="16"/>
      <c r="F1" s="16"/>
      <c r="G1" s="16"/>
      <c r="H1" s="16"/>
      <c r="I1" s="16"/>
      <c r="J1" s="16"/>
      <c r="K1" s="16"/>
      <c r="L1" s="63"/>
      <c r="M1" s="51"/>
    </row>
    <row r="2" spans="1:13">
      <c r="A2" s="1"/>
      <c r="B2" s="6"/>
      <c r="C2" s="2"/>
      <c r="D2" s="2" t="s">
        <v>0</v>
      </c>
      <c r="E2" s="19">
        <f>B3*211*90</f>
        <v>6076800</v>
      </c>
      <c r="F2" s="2"/>
      <c r="G2" s="204"/>
      <c r="H2" s="204"/>
      <c r="I2" s="204"/>
      <c r="J2" s="56"/>
      <c r="K2" s="56"/>
      <c r="L2" s="63"/>
      <c r="M2" s="51"/>
    </row>
    <row r="3" spans="1:13">
      <c r="A3" s="19" t="s">
        <v>1</v>
      </c>
      <c r="B3" s="6">
        <v>320</v>
      </c>
      <c r="C3" s="2"/>
      <c r="D3" s="2" t="s">
        <v>2</v>
      </c>
      <c r="E3" s="19">
        <f>E2*2/3</f>
        <v>4051200</v>
      </c>
      <c r="F3" s="2"/>
      <c r="G3" s="205"/>
      <c r="H3" s="205"/>
      <c r="I3" s="205"/>
      <c r="J3" s="57"/>
      <c r="K3" s="57"/>
      <c r="L3" s="63"/>
      <c r="M3" s="51"/>
    </row>
    <row r="4" spans="1:13">
      <c r="A4" s="7"/>
      <c r="B4" s="5"/>
      <c r="C4" s="2"/>
      <c r="D4" s="2" t="s">
        <v>3</v>
      </c>
      <c r="E4" s="19">
        <f>SUM(E2:E3)</f>
        <v>10128000</v>
      </c>
      <c r="F4" s="2"/>
      <c r="G4" s="205"/>
      <c r="H4" s="205"/>
      <c r="I4" s="205"/>
      <c r="J4" s="57"/>
      <c r="K4" s="57"/>
      <c r="L4" s="63"/>
      <c r="M4" s="51"/>
    </row>
    <row r="5" spans="1:13">
      <c r="A5" s="7"/>
      <c r="B5" s="5"/>
      <c r="C5" s="2"/>
      <c r="D5" s="2" t="s">
        <v>4</v>
      </c>
      <c r="E5" s="19">
        <f>E4*0.06</f>
        <v>607680</v>
      </c>
      <c r="F5" s="2"/>
      <c r="G5" s="205"/>
      <c r="H5" s="205"/>
      <c r="I5" s="205"/>
      <c r="J5" s="57"/>
      <c r="K5" s="57"/>
      <c r="L5" s="63"/>
      <c r="M5" s="51"/>
    </row>
    <row r="6" spans="1:13">
      <c r="A6" s="7"/>
      <c r="B6" s="5"/>
      <c r="C6" s="2"/>
      <c r="D6" s="2" t="s">
        <v>5</v>
      </c>
      <c r="E6" s="19">
        <f>E5+E4</f>
        <v>10735680</v>
      </c>
      <c r="F6" s="2"/>
      <c r="G6" s="206"/>
      <c r="H6" s="206"/>
      <c r="I6" s="206"/>
      <c r="J6" s="58"/>
      <c r="K6" s="58"/>
      <c r="L6" s="63"/>
      <c r="M6" s="51"/>
    </row>
    <row r="7" spans="1:13" ht="21" customHeight="1">
      <c r="A7" s="187" t="s">
        <v>18</v>
      </c>
      <c r="B7" s="186" t="s">
        <v>14</v>
      </c>
      <c r="C7" s="184" t="s">
        <v>147</v>
      </c>
      <c r="D7" s="193" t="s">
        <v>7</v>
      </c>
      <c r="E7" s="194"/>
      <c r="F7" s="184"/>
      <c r="G7" s="234" t="s">
        <v>153</v>
      </c>
      <c r="H7" s="235"/>
      <c r="I7" s="235"/>
      <c r="J7" s="235"/>
      <c r="K7" s="236"/>
      <c r="L7" s="202" t="s">
        <v>144</v>
      </c>
      <c r="M7" s="200" t="s">
        <v>117</v>
      </c>
    </row>
    <row r="8" spans="1:13" ht="27" customHeight="1">
      <c r="A8" s="187"/>
      <c r="B8" s="186"/>
      <c r="C8" s="185"/>
      <c r="D8" s="195"/>
      <c r="E8" s="196"/>
      <c r="F8" s="185"/>
      <c r="G8" s="52" t="s">
        <v>148</v>
      </c>
      <c r="H8" s="52" t="s">
        <v>149</v>
      </c>
      <c r="I8" s="52" t="s">
        <v>150</v>
      </c>
      <c r="J8" s="52" t="s">
        <v>151</v>
      </c>
      <c r="K8" s="52" t="s">
        <v>152</v>
      </c>
      <c r="L8" s="203"/>
      <c r="M8" s="201"/>
    </row>
    <row r="9" spans="1:13" ht="14.4" customHeight="1">
      <c r="A9" s="189" t="s">
        <v>40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60"/>
    </row>
    <row r="10" spans="1:13" ht="28.95" customHeight="1">
      <c r="A10" s="66" t="s">
        <v>19</v>
      </c>
      <c r="B10" s="50">
        <v>1000</v>
      </c>
      <c r="C10" s="14" t="s">
        <v>12</v>
      </c>
      <c r="D10" s="222" t="s">
        <v>359</v>
      </c>
      <c r="E10" s="323"/>
      <c r="F10" s="324"/>
      <c r="G10" s="14"/>
      <c r="H10" s="21"/>
      <c r="I10" s="21"/>
      <c r="J10" s="21"/>
      <c r="K10" s="21"/>
      <c r="L10" s="138">
        <f>((B10*211)+(B10*211*2/3))/100000</f>
        <v>3.5166666666666662</v>
      </c>
      <c r="M10" s="124" t="s">
        <v>575</v>
      </c>
    </row>
    <row r="11" spans="1:13" ht="14.4" customHeight="1">
      <c r="A11" s="66" t="s">
        <v>25</v>
      </c>
      <c r="B11" s="50">
        <v>3000</v>
      </c>
      <c r="C11" s="24" t="s">
        <v>11</v>
      </c>
      <c r="D11" s="301" t="s">
        <v>360</v>
      </c>
      <c r="E11" s="302"/>
      <c r="F11" s="303"/>
      <c r="G11" s="23"/>
      <c r="H11" s="21"/>
      <c r="I11" s="21"/>
      <c r="J11" s="21"/>
      <c r="K11" s="21"/>
      <c r="L11" s="138">
        <f t="shared" ref="L11:L13" si="0">((B11*211)+(B11*211*2/3))/100000</f>
        <v>10.55</v>
      </c>
      <c r="M11" s="95" t="s">
        <v>576</v>
      </c>
    </row>
    <row r="12" spans="1:13" ht="15.6">
      <c r="A12" s="66" t="s">
        <v>13</v>
      </c>
      <c r="B12" s="50">
        <v>1500</v>
      </c>
      <c r="C12" s="12" t="s">
        <v>9</v>
      </c>
      <c r="D12" s="247" t="s">
        <v>363</v>
      </c>
      <c r="E12" s="248"/>
      <c r="F12" s="249"/>
      <c r="G12" s="12"/>
      <c r="H12" s="21"/>
      <c r="I12" s="21"/>
      <c r="J12" s="21"/>
      <c r="K12" s="21"/>
      <c r="L12" s="138">
        <f t="shared" si="0"/>
        <v>5.2750000000000004</v>
      </c>
      <c r="M12" s="95" t="s">
        <v>577</v>
      </c>
    </row>
    <row r="13" spans="1:13" ht="15.6">
      <c r="A13" s="70" t="s">
        <v>8</v>
      </c>
      <c r="B13" s="72">
        <v>8800</v>
      </c>
      <c r="C13" s="15" t="s">
        <v>38</v>
      </c>
      <c r="D13" s="325" t="s">
        <v>327</v>
      </c>
      <c r="E13" s="326"/>
      <c r="F13" s="327"/>
      <c r="G13" s="29">
        <v>1000</v>
      </c>
      <c r="H13" s="29">
        <v>1.5</v>
      </c>
      <c r="I13" s="29">
        <v>1</v>
      </c>
      <c r="J13" s="21">
        <f>I13*H13*G13</f>
        <v>1500</v>
      </c>
      <c r="K13" s="50" t="s">
        <v>258</v>
      </c>
      <c r="L13" s="138">
        <f t="shared" si="0"/>
        <v>30.946666666666669</v>
      </c>
      <c r="M13" s="124" t="s">
        <v>578</v>
      </c>
    </row>
    <row r="14" spans="1:13" ht="14.4" customHeight="1">
      <c r="A14" s="237" t="s">
        <v>39</v>
      </c>
      <c r="B14" s="238"/>
      <c r="C14" s="238"/>
      <c r="D14" s="238"/>
      <c r="E14" s="238"/>
      <c r="F14" s="238"/>
      <c r="G14" s="238"/>
      <c r="H14" s="238"/>
      <c r="I14" s="238"/>
      <c r="J14" s="238"/>
      <c r="K14" s="238"/>
      <c r="L14" s="239"/>
      <c r="M14" s="61"/>
    </row>
    <row r="15" spans="1:13" ht="28.8">
      <c r="A15" s="68" t="s">
        <v>42</v>
      </c>
      <c r="B15" s="50">
        <v>300</v>
      </c>
      <c r="C15" s="12" t="s">
        <v>55</v>
      </c>
      <c r="D15" s="250" t="s">
        <v>362</v>
      </c>
      <c r="E15" s="295"/>
      <c r="F15" s="296"/>
      <c r="G15" s="12"/>
      <c r="H15" s="21"/>
      <c r="I15" s="21"/>
      <c r="J15" s="21"/>
      <c r="K15" s="21"/>
      <c r="L15" s="126">
        <f>((B15*211)+(B15*211*2/3))/100000</f>
        <v>1.0549999999999999</v>
      </c>
      <c r="M15" s="124" t="s">
        <v>579</v>
      </c>
    </row>
    <row r="16" spans="1:13" ht="14.4" customHeight="1">
      <c r="A16" s="211" t="s">
        <v>45</v>
      </c>
      <c r="B16" s="267">
        <v>1500</v>
      </c>
      <c r="C16" s="12" t="s">
        <v>67</v>
      </c>
      <c r="D16" s="250" t="s">
        <v>317</v>
      </c>
      <c r="E16" s="295"/>
      <c r="F16" s="296"/>
      <c r="G16" s="12"/>
      <c r="H16" s="21"/>
      <c r="I16" s="21"/>
      <c r="J16" s="21"/>
      <c r="K16" s="21"/>
      <c r="L16" s="126">
        <f t="shared" ref="L16:L18" si="1">((B16*211)+(B16*211*2/3))/100000</f>
        <v>5.2750000000000004</v>
      </c>
      <c r="M16" s="261" t="s">
        <v>580</v>
      </c>
    </row>
    <row r="17" spans="1:13">
      <c r="A17" s="211"/>
      <c r="B17" s="269"/>
      <c r="C17" s="12" t="s">
        <v>68</v>
      </c>
      <c r="D17" s="250" t="s">
        <v>327</v>
      </c>
      <c r="E17" s="295"/>
      <c r="F17" s="296"/>
      <c r="G17" s="12"/>
      <c r="H17" s="21"/>
      <c r="I17" s="21"/>
      <c r="J17" s="21"/>
      <c r="K17" s="21"/>
      <c r="L17" s="126">
        <f t="shared" si="1"/>
        <v>0</v>
      </c>
      <c r="M17" s="261"/>
    </row>
    <row r="18" spans="1:13" ht="28.8">
      <c r="A18" s="68" t="s">
        <v>46</v>
      </c>
      <c r="B18" s="50">
        <v>9000</v>
      </c>
      <c r="C18" s="13" t="s">
        <v>154</v>
      </c>
      <c r="D18" s="320" t="s">
        <v>313</v>
      </c>
      <c r="E18" s="321"/>
      <c r="F18" s="322"/>
      <c r="G18" s="12"/>
      <c r="H18" s="21"/>
      <c r="I18" s="21"/>
      <c r="J18" s="21"/>
      <c r="K18" s="21"/>
      <c r="L18" s="126">
        <f t="shared" si="1"/>
        <v>31.65</v>
      </c>
      <c r="M18" s="124" t="s">
        <v>581</v>
      </c>
    </row>
    <row r="19" spans="1:13">
      <c r="A19" s="240" t="s">
        <v>77</v>
      </c>
      <c r="B19" s="241"/>
      <c r="C19" s="241"/>
      <c r="D19" s="241"/>
      <c r="E19" s="241"/>
      <c r="F19" s="241"/>
      <c r="G19" s="241"/>
      <c r="H19" s="241"/>
      <c r="I19" s="241"/>
      <c r="J19" s="241"/>
      <c r="K19" s="241"/>
      <c r="L19" s="242"/>
      <c r="M19" s="20"/>
    </row>
    <row r="20" spans="1:13" ht="15.6">
      <c r="A20" s="68" t="s">
        <v>78</v>
      </c>
      <c r="B20" s="50">
        <v>300</v>
      </c>
      <c r="C20" s="12" t="s">
        <v>15</v>
      </c>
      <c r="D20" s="270" t="s">
        <v>361</v>
      </c>
      <c r="E20" s="279"/>
      <c r="F20" s="278"/>
      <c r="G20" s="12"/>
      <c r="H20" s="21"/>
      <c r="I20" s="21"/>
      <c r="J20" s="21"/>
      <c r="K20" s="21"/>
      <c r="L20" s="62">
        <f>((B20*211)+(B20*211*2/3))/100000</f>
        <v>1.0549999999999999</v>
      </c>
      <c r="M20" s="95" t="s">
        <v>582</v>
      </c>
    </row>
    <row r="21" spans="1:13" ht="15.75" customHeight="1">
      <c r="A21" s="316" t="s">
        <v>79</v>
      </c>
      <c r="B21" s="267">
        <v>500</v>
      </c>
      <c r="C21" s="275" t="s">
        <v>89</v>
      </c>
      <c r="D21" s="247" t="s">
        <v>342</v>
      </c>
      <c r="E21" s="248"/>
      <c r="F21" s="249"/>
      <c r="G21" s="12"/>
      <c r="H21" s="21"/>
      <c r="I21" s="21"/>
      <c r="J21" s="21"/>
      <c r="K21" s="21"/>
      <c r="L21" s="264">
        <f>((B21*211)+(B21*211*2/3))/100000</f>
        <v>1.7583333333333331</v>
      </c>
      <c r="M21" s="261" t="s">
        <v>583</v>
      </c>
    </row>
    <row r="22" spans="1:13">
      <c r="A22" s="317"/>
      <c r="B22" s="268"/>
      <c r="C22" s="276"/>
      <c r="D22" s="247" t="s">
        <v>343</v>
      </c>
      <c r="E22" s="248"/>
      <c r="F22" s="249"/>
      <c r="G22" s="12"/>
      <c r="H22" s="21"/>
      <c r="I22" s="21"/>
      <c r="J22" s="21"/>
      <c r="K22" s="21"/>
      <c r="L22" s="265"/>
      <c r="M22" s="261"/>
    </row>
    <row r="23" spans="1:13">
      <c r="A23" s="317"/>
      <c r="B23" s="268"/>
      <c r="C23" s="276"/>
      <c r="D23" s="247" t="s">
        <v>344</v>
      </c>
      <c r="E23" s="248"/>
      <c r="F23" s="249"/>
      <c r="G23" s="12"/>
      <c r="H23" s="21"/>
      <c r="I23" s="21"/>
      <c r="J23" s="21"/>
      <c r="K23" s="21"/>
      <c r="L23" s="265"/>
      <c r="M23" s="261"/>
    </row>
    <row r="24" spans="1:13">
      <c r="A24" s="317"/>
      <c r="B24" s="268"/>
      <c r="C24" s="276"/>
      <c r="D24" s="247" t="s">
        <v>345</v>
      </c>
      <c r="E24" s="248"/>
      <c r="F24" s="249"/>
      <c r="G24" s="12"/>
      <c r="H24" s="21"/>
      <c r="I24" s="21"/>
      <c r="J24" s="21"/>
      <c r="K24" s="21"/>
      <c r="L24" s="265"/>
      <c r="M24" s="261"/>
    </row>
    <row r="25" spans="1:13" ht="14.4" customHeight="1">
      <c r="A25" s="317"/>
      <c r="B25" s="268"/>
      <c r="C25" s="276"/>
      <c r="D25" s="247" t="s">
        <v>346</v>
      </c>
      <c r="E25" s="248"/>
      <c r="F25" s="249"/>
      <c r="G25" s="12"/>
      <c r="H25" s="21"/>
      <c r="I25" s="21"/>
      <c r="J25" s="21"/>
      <c r="K25" s="21"/>
      <c r="L25" s="265"/>
      <c r="M25" s="261"/>
    </row>
    <row r="26" spans="1:13" ht="14.4" customHeight="1">
      <c r="A26" s="317"/>
      <c r="B26" s="268"/>
      <c r="C26" s="276"/>
      <c r="D26" s="247" t="s">
        <v>347</v>
      </c>
      <c r="E26" s="248"/>
      <c r="F26" s="249"/>
      <c r="G26" s="12"/>
      <c r="H26" s="21"/>
      <c r="I26" s="21"/>
      <c r="J26" s="21"/>
      <c r="K26" s="21"/>
      <c r="L26" s="265"/>
      <c r="M26" s="261"/>
    </row>
    <row r="27" spans="1:13" ht="14.4" customHeight="1">
      <c r="A27" s="317"/>
      <c r="B27" s="268"/>
      <c r="C27" s="277"/>
      <c r="D27" s="247" t="s">
        <v>348</v>
      </c>
      <c r="E27" s="248"/>
      <c r="F27" s="249"/>
      <c r="G27" s="12"/>
      <c r="H27" s="21"/>
      <c r="I27" s="21"/>
      <c r="J27" s="21"/>
      <c r="K27" s="21"/>
      <c r="L27" s="265"/>
      <c r="M27" s="261"/>
    </row>
    <row r="28" spans="1:13">
      <c r="A28" s="317"/>
      <c r="B28" s="268"/>
      <c r="C28" s="190" t="s">
        <v>350</v>
      </c>
      <c r="D28" s="247" t="s">
        <v>351</v>
      </c>
      <c r="E28" s="248"/>
      <c r="F28" s="249"/>
      <c r="G28" s="12"/>
      <c r="H28" s="21"/>
      <c r="I28" s="21"/>
      <c r="J28" s="21"/>
      <c r="K28" s="21"/>
      <c r="L28" s="265"/>
      <c r="M28" s="261"/>
    </row>
    <row r="29" spans="1:13">
      <c r="A29" s="317"/>
      <c r="B29" s="268"/>
      <c r="C29" s="191"/>
      <c r="D29" s="247" t="s">
        <v>352</v>
      </c>
      <c r="E29" s="248"/>
      <c r="F29" s="249"/>
      <c r="G29" s="12"/>
      <c r="H29" s="21"/>
      <c r="I29" s="21"/>
      <c r="J29" s="21"/>
      <c r="K29" s="21"/>
      <c r="L29" s="265"/>
      <c r="M29" s="261"/>
    </row>
    <row r="30" spans="1:13">
      <c r="A30" s="317"/>
      <c r="B30" s="268"/>
      <c r="C30" s="191"/>
      <c r="D30" s="247" t="s">
        <v>353</v>
      </c>
      <c r="E30" s="248"/>
      <c r="F30" s="249"/>
      <c r="G30" s="12"/>
      <c r="H30" s="21"/>
      <c r="I30" s="21"/>
      <c r="J30" s="21"/>
      <c r="K30" s="21"/>
      <c r="L30" s="265"/>
      <c r="M30" s="261"/>
    </row>
    <row r="31" spans="1:13">
      <c r="A31" s="317"/>
      <c r="B31" s="268"/>
      <c r="C31" s="192"/>
      <c r="D31" s="247" t="s">
        <v>354</v>
      </c>
      <c r="E31" s="248"/>
      <c r="F31" s="249"/>
      <c r="G31" s="12"/>
      <c r="H31" s="21"/>
      <c r="I31" s="21"/>
      <c r="J31" s="21"/>
      <c r="K31" s="21"/>
      <c r="L31" s="265"/>
      <c r="M31" s="261"/>
    </row>
    <row r="32" spans="1:13">
      <c r="A32" s="317"/>
      <c r="B32" s="268"/>
      <c r="C32" s="12" t="s">
        <v>91</v>
      </c>
      <c r="D32" s="270" t="s">
        <v>349</v>
      </c>
      <c r="E32" s="280"/>
      <c r="F32" s="271"/>
      <c r="G32" s="12"/>
      <c r="H32" s="21"/>
      <c r="I32" s="21"/>
      <c r="J32" s="21"/>
      <c r="K32" s="21"/>
      <c r="L32" s="265"/>
      <c r="M32" s="261"/>
    </row>
    <row r="33" spans="1:13">
      <c r="A33" s="317"/>
      <c r="B33" s="268"/>
      <c r="C33" s="275" t="s">
        <v>96</v>
      </c>
      <c r="D33" s="247" t="s">
        <v>335</v>
      </c>
      <c r="E33" s="248"/>
      <c r="F33" s="249"/>
      <c r="G33" s="12"/>
      <c r="H33" s="21"/>
      <c r="I33" s="21"/>
      <c r="J33" s="21"/>
      <c r="K33" s="21"/>
      <c r="L33" s="265"/>
      <c r="M33" s="261"/>
    </row>
    <row r="34" spans="1:13">
      <c r="A34" s="317"/>
      <c r="B34" s="268"/>
      <c r="C34" s="276"/>
      <c r="D34" s="247" t="s">
        <v>336</v>
      </c>
      <c r="E34" s="248"/>
      <c r="F34" s="249"/>
      <c r="G34" s="12"/>
      <c r="H34" s="21"/>
      <c r="I34" s="21"/>
      <c r="J34" s="21"/>
      <c r="K34" s="21"/>
      <c r="L34" s="265"/>
      <c r="M34" s="261"/>
    </row>
    <row r="35" spans="1:13">
      <c r="A35" s="317"/>
      <c r="B35" s="268"/>
      <c r="C35" s="276"/>
      <c r="D35" s="247" t="s">
        <v>337</v>
      </c>
      <c r="E35" s="248"/>
      <c r="F35" s="249"/>
      <c r="G35" s="12"/>
      <c r="H35" s="21"/>
      <c r="I35" s="21"/>
      <c r="J35" s="21"/>
      <c r="K35" s="21"/>
      <c r="L35" s="265"/>
      <c r="M35" s="261"/>
    </row>
    <row r="36" spans="1:13">
      <c r="A36" s="317"/>
      <c r="B36" s="268"/>
      <c r="C36" s="276"/>
      <c r="D36" s="247" t="s">
        <v>338</v>
      </c>
      <c r="E36" s="248"/>
      <c r="F36" s="249"/>
      <c r="G36" s="12"/>
      <c r="H36" s="21"/>
      <c r="I36" s="21"/>
      <c r="J36" s="21"/>
      <c r="K36" s="21"/>
      <c r="L36" s="265"/>
      <c r="M36" s="261"/>
    </row>
    <row r="37" spans="1:13">
      <c r="A37" s="317"/>
      <c r="B37" s="268"/>
      <c r="C37" s="276"/>
      <c r="D37" s="247" t="s">
        <v>339</v>
      </c>
      <c r="E37" s="248"/>
      <c r="F37" s="249"/>
      <c r="G37" s="12"/>
      <c r="H37" s="21"/>
      <c r="I37" s="21"/>
      <c r="J37" s="21"/>
      <c r="K37" s="21"/>
      <c r="L37" s="265"/>
      <c r="M37" s="261"/>
    </row>
    <row r="38" spans="1:13">
      <c r="A38" s="317"/>
      <c r="B38" s="268"/>
      <c r="C38" s="276"/>
      <c r="D38" s="247" t="s">
        <v>340</v>
      </c>
      <c r="E38" s="248"/>
      <c r="F38" s="249"/>
      <c r="G38" s="12"/>
      <c r="H38" s="21"/>
      <c r="I38" s="21"/>
      <c r="J38" s="21"/>
      <c r="K38" s="21"/>
      <c r="L38" s="265"/>
      <c r="M38" s="261"/>
    </row>
    <row r="39" spans="1:13">
      <c r="A39" s="317"/>
      <c r="B39" s="268"/>
      <c r="C39" s="277"/>
      <c r="D39" s="247" t="s">
        <v>341</v>
      </c>
      <c r="E39" s="248"/>
      <c r="F39" s="249"/>
      <c r="G39" s="12"/>
      <c r="H39" s="21"/>
      <c r="I39" s="21"/>
      <c r="J39" s="21"/>
      <c r="K39" s="21"/>
      <c r="L39" s="265"/>
      <c r="M39" s="261"/>
    </row>
    <row r="40" spans="1:13">
      <c r="A40" s="318"/>
      <c r="B40" s="269"/>
      <c r="C40" s="12" t="s">
        <v>100</v>
      </c>
      <c r="D40" s="270" t="s">
        <v>349</v>
      </c>
      <c r="E40" s="279"/>
      <c r="F40" s="278"/>
      <c r="G40" s="12"/>
      <c r="H40" s="21"/>
      <c r="I40" s="21"/>
      <c r="J40" s="21"/>
      <c r="K40" s="21"/>
      <c r="L40" s="266"/>
      <c r="M40" s="261"/>
    </row>
    <row r="41" spans="1:13" ht="28.8">
      <c r="A41" s="53" t="s">
        <v>80</v>
      </c>
      <c r="B41" s="50">
        <v>500</v>
      </c>
      <c r="C41" s="25" t="s">
        <v>101</v>
      </c>
      <c r="D41" s="270" t="s">
        <v>349</v>
      </c>
      <c r="E41" s="279"/>
      <c r="F41" s="278"/>
      <c r="G41" s="25"/>
      <c r="H41" s="21"/>
      <c r="I41" s="21"/>
      <c r="J41" s="21"/>
      <c r="K41" s="21"/>
      <c r="L41" s="138">
        <f>((B41*211)+(B41*211*2/3))/100000</f>
        <v>1.7583333333333331</v>
      </c>
      <c r="M41" s="124" t="s">
        <v>584</v>
      </c>
    </row>
    <row r="42" spans="1:13" ht="15.75" customHeight="1">
      <c r="A42" s="211" t="s">
        <v>81</v>
      </c>
      <c r="B42" s="267">
        <v>1500</v>
      </c>
      <c r="C42" s="275" t="s">
        <v>113</v>
      </c>
      <c r="D42" s="247" t="s">
        <v>358</v>
      </c>
      <c r="E42" s="248"/>
      <c r="F42" s="249"/>
      <c r="G42" s="14"/>
      <c r="H42" s="21"/>
      <c r="I42" s="21"/>
      <c r="J42" s="21"/>
      <c r="K42" s="21"/>
      <c r="L42" s="138">
        <f t="shared" ref="L42:L48" si="2">((B42*211)+(B42*211*2/3))/100000</f>
        <v>5.2750000000000004</v>
      </c>
      <c r="M42" s="94" t="s">
        <v>574</v>
      </c>
    </row>
    <row r="43" spans="1:13" ht="14.4" customHeight="1">
      <c r="A43" s="211"/>
      <c r="B43" s="268"/>
      <c r="C43" s="276"/>
      <c r="D43" s="247" t="s">
        <v>336</v>
      </c>
      <c r="E43" s="248"/>
      <c r="F43" s="249"/>
      <c r="G43" s="14"/>
      <c r="H43" s="21"/>
      <c r="I43" s="21"/>
      <c r="J43" s="21"/>
      <c r="K43" s="21"/>
      <c r="L43" s="138">
        <f t="shared" si="2"/>
        <v>0</v>
      </c>
      <c r="M43" s="94"/>
    </row>
    <row r="44" spans="1:13" ht="14.4" customHeight="1">
      <c r="A44" s="211"/>
      <c r="B44" s="268"/>
      <c r="C44" s="276"/>
      <c r="D44" s="247" t="s">
        <v>355</v>
      </c>
      <c r="E44" s="248"/>
      <c r="F44" s="249"/>
      <c r="G44" s="14"/>
      <c r="H44" s="21"/>
      <c r="I44" s="21"/>
      <c r="J44" s="21"/>
      <c r="K44" s="21"/>
      <c r="L44" s="138">
        <f t="shared" si="2"/>
        <v>0</v>
      </c>
      <c r="M44" s="94"/>
    </row>
    <row r="45" spans="1:13" ht="14.4" customHeight="1">
      <c r="A45" s="211"/>
      <c r="B45" s="268"/>
      <c r="C45" s="276"/>
      <c r="D45" s="247" t="s">
        <v>356</v>
      </c>
      <c r="E45" s="248"/>
      <c r="F45" s="249"/>
      <c r="G45" s="14"/>
      <c r="H45" s="21"/>
      <c r="I45" s="21"/>
      <c r="J45" s="21"/>
      <c r="K45" s="21"/>
      <c r="L45" s="138">
        <f t="shared" si="2"/>
        <v>0</v>
      </c>
      <c r="M45" s="94"/>
    </row>
    <row r="46" spans="1:13" ht="14.4" customHeight="1">
      <c r="A46" s="211"/>
      <c r="B46" s="269"/>
      <c r="C46" s="276"/>
      <c r="D46" s="247" t="s">
        <v>357</v>
      </c>
      <c r="E46" s="248"/>
      <c r="F46" s="249"/>
      <c r="G46" s="14"/>
      <c r="H46" s="21"/>
      <c r="I46" s="21"/>
      <c r="J46" s="21"/>
      <c r="K46" s="21"/>
      <c r="L46" s="138">
        <f t="shared" si="2"/>
        <v>0</v>
      </c>
      <c r="M46" s="94"/>
    </row>
    <row r="47" spans="1:13" ht="14.4" customHeight="1">
      <c r="A47" s="211" t="s">
        <v>82</v>
      </c>
      <c r="B47" s="50">
        <v>400</v>
      </c>
      <c r="C47" s="13" t="s">
        <v>325</v>
      </c>
      <c r="D47" s="270" t="s">
        <v>320</v>
      </c>
      <c r="E47" s="279"/>
      <c r="F47" s="278"/>
      <c r="G47" s="12"/>
      <c r="H47" s="21"/>
      <c r="I47" s="21"/>
      <c r="J47" s="21"/>
      <c r="K47" s="21"/>
      <c r="L47" s="138">
        <f t="shared" si="2"/>
        <v>1.4066666666666665</v>
      </c>
      <c r="M47" s="95" t="s">
        <v>585</v>
      </c>
    </row>
    <row r="48" spans="1:13" ht="15.6">
      <c r="A48" s="211"/>
      <c r="B48" s="50">
        <v>500</v>
      </c>
      <c r="C48" s="12" t="s">
        <v>106</v>
      </c>
      <c r="D48" s="270" t="s">
        <v>349</v>
      </c>
      <c r="E48" s="279"/>
      <c r="F48" s="278"/>
      <c r="G48" s="12"/>
      <c r="H48" s="21"/>
      <c r="I48" s="21"/>
      <c r="J48" s="21"/>
      <c r="K48" s="21"/>
      <c r="L48" s="138">
        <f t="shared" si="2"/>
        <v>1.7583333333333331</v>
      </c>
      <c r="M48" s="95" t="s">
        <v>586</v>
      </c>
    </row>
    <row r="49" spans="2:12">
      <c r="B49" s="10">
        <f>SUM(B10:B48)</f>
        <v>28800</v>
      </c>
      <c r="L49" s="59">
        <f>SUM(L10:L48)</f>
        <v>101.28000000000004</v>
      </c>
    </row>
    <row r="50" spans="2:12">
      <c r="B50" s="26">
        <f>B3*90</f>
        <v>28800</v>
      </c>
      <c r="L50" s="65">
        <f>E4/100000</f>
        <v>101.28</v>
      </c>
    </row>
  </sheetData>
  <mergeCells count="66">
    <mergeCell ref="B16:B17"/>
    <mergeCell ref="M16:M17"/>
    <mergeCell ref="M21:M40"/>
    <mergeCell ref="B21:B40"/>
    <mergeCell ref="L21:L40"/>
    <mergeCell ref="D42:F42"/>
    <mergeCell ref="C42:C46"/>
    <mergeCell ref="B42:B46"/>
    <mergeCell ref="C21:C27"/>
    <mergeCell ref="D39:F39"/>
    <mergeCell ref="D29:F29"/>
    <mergeCell ref="D30:F30"/>
    <mergeCell ref="D31:F31"/>
    <mergeCell ref="D40:F40"/>
    <mergeCell ref="C33:C39"/>
    <mergeCell ref="D10:F10"/>
    <mergeCell ref="D11:F11"/>
    <mergeCell ref="D17:F17"/>
    <mergeCell ref="D15:F15"/>
    <mergeCell ref="D16:F16"/>
    <mergeCell ref="D13:F13"/>
    <mergeCell ref="D47:F47"/>
    <mergeCell ref="D48:F48"/>
    <mergeCell ref="D41:F41"/>
    <mergeCell ref="D12:F12"/>
    <mergeCell ref="D20:F20"/>
    <mergeCell ref="D18:F18"/>
    <mergeCell ref="D43:F43"/>
    <mergeCell ref="D44:F44"/>
    <mergeCell ref="D45:F45"/>
    <mergeCell ref="D46:F46"/>
    <mergeCell ref="D33:F33"/>
    <mergeCell ref="D34:F34"/>
    <mergeCell ref="D35:F35"/>
    <mergeCell ref="D36:F36"/>
    <mergeCell ref="D37:F37"/>
    <mergeCell ref="D38:F38"/>
    <mergeCell ref="A42:A46"/>
    <mergeCell ref="A47:A48"/>
    <mergeCell ref="A14:L14"/>
    <mergeCell ref="A16:A17"/>
    <mergeCell ref="A19:L19"/>
    <mergeCell ref="A21:A40"/>
    <mergeCell ref="D21:F21"/>
    <mergeCell ref="D22:F22"/>
    <mergeCell ref="D23:F23"/>
    <mergeCell ref="D24:F24"/>
    <mergeCell ref="D25:F25"/>
    <mergeCell ref="D26:F26"/>
    <mergeCell ref="D27:F27"/>
    <mergeCell ref="D32:F32"/>
    <mergeCell ref="C28:C31"/>
    <mergeCell ref="D28:F28"/>
    <mergeCell ref="M7:M8"/>
    <mergeCell ref="G2:I2"/>
    <mergeCell ref="G3:I3"/>
    <mergeCell ref="G4:I4"/>
    <mergeCell ref="G5:I5"/>
    <mergeCell ref="G6:I6"/>
    <mergeCell ref="L7:L8"/>
    <mergeCell ref="A9:L9"/>
    <mergeCell ref="A7:A8"/>
    <mergeCell ref="B7:B8"/>
    <mergeCell ref="C7:C8"/>
    <mergeCell ref="D7:F8"/>
    <mergeCell ref="G7:K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36"/>
  <sheetViews>
    <sheetView topLeftCell="A19" workbookViewId="0">
      <selection activeCell="F39" sqref="F39"/>
    </sheetView>
  </sheetViews>
  <sheetFormatPr defaultRowHeight="14.4"/>
  <cols>
    <col min="1" max="1" width="17" style="9" customWidth="1"/>
    <col min="2" max="2" width="9.6640625" style="10" customWidth="1"/>
    <col min="3" max="3" width="24.5546875" customWidth="1"/>
    <col min="4" max="4" width="25.88671875" style="3" customWidth="1"/>
    <col min="5" max="5" width="9.33203125" style="3" customWidth="1"/>
    <col min="6" max="6" width="18.44140625" style="3" customWidth="1"/>
    <col min="7" max="7" width="5" style="18" customWidth="1"/>
    <col min="8" max="9" width="4.5546875" style="18" customWidth="1"/>
    <col min="10" max="10" width="6.44140625" style="18" customWidth="1"/>
    <col min="11" max="11" width="5.109375" style="18" customWidth="1"/>
    <col min="12" max="12" width="8.88671875" style="59"/>
    <col min="13" max="13" width="23" bestFit="1" customWidth="1"/>
  </cols>
  <sheetData>
    <row r="1" spans="1:16">
      <c r="A1" s="19" t="s">
        <v>244</v>
      </c>
      <c r="B1" s="6"/>
      <c r="C1" s="16"/>
      <c r="D1" s="16" t="s">
        <v>146</v>
      </c>
      <c r="E1" s="16"/>
      <c r="F1" s="16"/>
      <c r="G1" s="16"/>
      <c r="H1" s="16"/>
      <c r="I1" s="16"/>
      <c r="J1" s="16"/>
      <c r="K1" s="16"/>
      <c r="L1" s="63"/>
      <c r="M1" s="51"/>
    </row>
    <row r="2" spans="1:16">
      <c r="A2" s="1"/>
      <c r="B2" s="6"/>
      <c r="C2" s="2"/>
      <c r="D2" s="2" t="s">
        <v>0</v>
      </c>
      <c r="E2" s="19">
        <f>B3*211*90</f>
        <v>1842030</v>
      </c>
      <c r="F2" s="2"/>
      <c r="G2" s="204"/>
      <c r="H2" s="204"/>
      <c r="I2" s="204"/>
      <c r="J2" s="56"/>
      <c r="K2" s="56"/>
      <c r="L2" s="63"/>
      <c r="M2" s="51"/>
    </row>
    <row r="3" spans="1:16">
      <c r="A3" s="19" t="s">
        <v>1</v>
      </c>
      <c r="B3" s="6">
        <v>97</v>
      </c>
      <c r="C3" s="2"/>
      <c r="D3" s="2" t="s">
        <v>2</v>
      </c>
      <c r="E3" s="19">
        <f>E2*2/3</f>
        <v>1228020</v>
      </c>
      <c r="F3" s="2"/>
      <c r="G3" s="205"/>
      <c r="H3" s="205"/>
      <c r="I3" s="205"/>
      <c r="J3" s="57"/>
      <c r="K3" s="57"/>
      <c r="L3" s="63"/>
      <c r="M3" s="51"/>
    </row>
    <row r="4" spans="1:16">
      <c r="A4" s="7"/>
      <c r="B4" s="5"/>
      <c r="C4" s="2"/>
      <c r="D4" s="2" t="s">
        <v>3</v>
      </c>
      <c r="E4" s="19">
        <f>SUM(E2:E3)</f>
        <v>3070050</v>
      </c>
      <c r="F4" s="2"/>
      <c r="G4" s="205"/>
      <c r="H4" s="205"/>
      <c r="I4" s="205"/>
      <c r="J4" s="57"/>
      <c r="K4" s="57"/>
      <c r="L4" s="63"/>
      <c r="M4" s="51"/>
    </row>
    <row r="5" spans="1:16">
      <c r="A5" s="7"/>
      <c r="B5" s="5"/>
      <c r="C5" s="2"/>
      <c r="D5" s="2" t="s">
        <v>4</v>
      </c>
      <c r="E5" s="19">
        <f>E4*0.06</f>
        <v>184203</v>
      </c>
      <c r="F5" s="2"/>
      <c r="G5" s="205"/>
      <c r="H5" s="205"/>
      <c r="I5" s="205"/>
      <c r="J5" s="57"/>
      <c r="K5" s="57"/>
      <c r="L5" s="63"/>
      <c r="M5" s="51"/>
    </row>
    <row r="6" spans="1:16">
      <c r="A6" s="7"/>
      <c r="B6" s="5"/>
      <c r="C6" s="2"/>
      <c r="D6" s="2" t="s">
        <v>5</v>
      </c>
      <c r="E6" s="19">
        <f>E5+E4</f>
        <v>3254253</v>
      </c>
      <c r="F6" s="2"/>
      <c r="G6" s="206"/>
      <c r="H6" s="206"/>
      <c r="I6" s="206"/>
      <c r="J6" s="58"/>
      <c r="K6" s="58"/>
      <c r="L6" s="63"/>
      <c r="M6" s="51"/>
    </row>
    <row r="7" spans="1:16" ht="21" customHeight="1">
      <c r="A7" s="187" t="s">
        <v>18</v>
      </c>
      <c r="B7" s="186" t="s">
        <v>14</v>
      </c>
      <c r="C7" s="184" t="s">
        <v>147</v>
      </c>
      <c r="D7" s="193" t="s">
        <v>7</v>
      </c>
      <c r="E7" s="194"/>
      <c r="F7" s="184"/>
      <c r="G7" s="234" t="s">
        <v>153</v>
      </c>
      <c r="H7" s="235"/>
      <c r="I7" s="235"/>
      <c r="J7" s="235"/>
      <c r="K7" s="236"/>
      <c r="L7" s="202" t="s">
        <v>144</v>
      </c>
      <c r="M7" s="200" t="s">
        <v>117</v>
      </c>
    </row>
    <row r="8" spans="1:16" ht="27" customHeight="1">
      <c r="A8" s="187"/>
      <c r="B8" s="186"/>
      <c r="C8" s="185"/>
      <c r="D8" s="195"/>
      <c r="E8" s="196"/>
      <c r="F8" s="185"/>
      <c r="G8" s="52" t="s">
        <v>148</v>
      </c>
      <c r="H8" s="52" t="s">
        <v>149</v>
      </c>
      <c r="I8" s="52" t="s">
        <v>150</v>
      </c>
      <c r="J8" s="52" t="s">
        <v>151</v>
      </c>
      <c r="K8" s="52" t="s">
        <v>152</v>
      </c>
      <c r="L8" s="203"/>
      <c r="M8" s="201"/>
    </row>
    <row r="9" spans="1:16" ht="14.4" customHeight="1">
      <c r="A9" s="189" t="s">
        <v>40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60"/>
    </row>
    <row r="10" spans="1:16" ht="15.6">
      <c r="A10" s="75" t="s">
        <v>13</v>
      </c>
      <c r="B10" s="50">
        <v>500</v>
      </c>
      <c r="C10" s="12" t="s">
        <v>34</v>
      </c>
      <c r="D10" s="270" t="s">
        <v>403</v>
      </c>
      <c r="E10" s="279"/>
      <c r="F10" s="278"/>
      <c r="G10" s="12">
        <v>0.3</v>
      </c>
      <c r="H10" s="21">
        <v>0.3</v>
      </c>
      <c r="I10" s="21">
        <v>0.3</v>
      </c>
      <c r="J10" s="21">
        <f>I10*H10*G10</f>
        <v>2.7E-2</v>
      </c>
      <c r="K10" s="79" t="s">
        <v>258</v>
      </c>
      <c r="L10" s="143">
        <f>((B10*211)+(B10*211*2/3))/100000</f>
        <v>1.7583333333333331</v>
      </c>
      <c r="M10" s="95" t="s">
        <v>588</v>
      </c>
    </row>
    <row r="11" spans="1:16" ht="15.6">
      <c r="A11" s="190" t="s">
        <v>8</v>
      </c>
      <c r="B11" s="126">
        <v>500</v>
      </c>
      <c r="C11" s="15" t="s">
        <v>38</v>
      </c>
      <c r="D11" s="250" t="s">
        <v>283</v>
      </c>
      <c r="E11" s="295"/>
      <c r="F11" s="296"/>
      <c r="G11" s="131">
        <v>1000</v>
      </c>
      <c r="H11" s="131">
        <v>1.5</v>
      </c>
      <c r="I11" s="131">
        <v>1</v>
      </c>
      <c r="J11" s="21">
        <f t="shared" ref="J11:J15" si="0">I11*H11*G11</f>
        <v>1500</v>
      </c>
      <c r="K11" s="126" t="s">
        <v>258</v>
      </c>
      <c r="L11" s="143">
        <f t="shared" ref="L11:L16" si="1">((B11*211)+(B11*211*2/3))/100000</f>
        <v>1.7583333333333331</v>
      </c>
      <c r="M11" s="95"/>
      <c r="O11">
        <f>4000/6</f>
        <v>666.66666666666663</v>
      </c>
      <c r="P11">
        <v>667</v>
      </c>
    </row>
    <row r="12" spans="1:16" ht="15.6">
      <c r="A12" s="191"/>
      <c r="B12" s="126">
        <v>500</v>
      </c>
      <c r="C12" s="15" t="s">
        <v>38</v>
      </c>
      <c r="D12" s="250" t="s">
        <v>283</v>
      </c>
      <c r="E12" s="295"/>
      <c r="F12" s="296"/>
      <c r="G12" s="131">
        <v>1000</v>
      </c>
      <c r="H12" s="131">
        <v>1.5</v>
      </c>
      <c r="I12" s="131">
        <v>1</v>
      </c>
      <c r="J12" s="21">
        <f t="shared" si="0"/>
        <v>1500</v>
      </c>
      <c r="K12" s="126" t="s">
        <v>258</v>
      </c>
      <c r="L12" s="143">
        <f t="shared" si="1"/>
        <v>1.7583333333333331</v>
      </c>
      <c r="M12" s="95"/>
      <c r="P12">
        <v>667</v>
      </c>
    </row>
    <row r="13" spans="1:16" ht="15.6">
      <c r="A13" s="191"/>
      <c r="B13" s="126">
        <v>500</v>
      </c>
      <c r="C13" s="15" t="s">
        <v>38</v>
      </c>
      <c r="D13" s="250" t="s">
        <v>283</v>
      </c>
      <c r="E13" s="295"/>
      <c r="F13" s="296"/>
      <c r="G13" s="131">
        <v>1000</v>
      </c>
      <c r="H13" s="131">
        <v>1.5</v>
      </c>
      <c r="I13" s="131">
        <v>1</v>
      </c>
      <c r="J13" s="21">
        <f t="shared" si="0"/>
        <v>1500</v>
      </c>
      <c r="K13" s="126" t="s">
        <v>258</v>
      </c>
      <c r="L13" s="143">
        <f t="shared" si="1"/>
        <v>1.7583333333333331</v>
      </c>
      <c r="M13" s="95"/>
      <c r="P13">
        <v>667</v>
      </c>
    </row>
    <row r="14" spans="1:16" ht="15.6">
      <c r="A14" s="191"/>
      <c r="B14" s="126">
        <v>500</v>
      </c>
      <c r="C14" s="15" t="s">
        <v>38</v>
      </c>
      <c r="D14" s="250" t="s">
        <v>283</v>
      </c>
      <c r="E14" s="295"/>
      <c r="F14" s="296"/>
      <c r="G14" s="131">
        <v>1000</v>
      </c>
      <c r="H14" s="131">
        <v>1.5</v>
      </c>
      <c r="I14" s="131">
        <v>1</v>
      </c>
      <c r="J14" s="21">
        <f t="shared" si="0"/>
        <v>1500</v>
      </c>
      <c r="K14" s="126" t="s">
        <v>258</v>
      </c>
      <c r="L14" s="143">
        <f t="shared" si="1"/>
        <v>1.7583333333333331</v>
      </c>
      <c r="M14" s="95"/>
      <c r="P14">
        <v>667</v>
      </c>
    </row>
    <row r="15" spans="1:16" ht="15.6">
      <c r="A15" s="191"/>
      <c r="B15" s="126">
        <v>500</v>
      </c>
      <c r="C15" s="15" t="s">
        <v>38</v>
      </c>
      <c r="D15" s="250" t="s">
        <v>283</v>
      </c>
      <c r="E15" s="295"/>
      <c r="F15" s="296"/>
      <c r="G15" s="131">
        <v>1000</v>
      </c>
      <c r="H15" s="131">
        <v>1.5</v>
      </c>
      <c r="I15" s="131">
        <v>1</v>
      </c>
      <c r="J15" s="21">
        <f t="shared" si="0"/>
        <v>1500</v>
      </c>
      <c r="K15" s="126" t="s">
        <v>258</v>
      </c>
      <c r="L15" s="143">
        <f t="shared" si="1"/>
        <v>1.7583333333333331</v>
      </c>
      <c r="M15" s="95"/>
      <c r="P15">
        <v>666</v>
      </c>
    </row>
    <row r="16" spans="1:16" ht="15.6">
      <c r="A16" s="192"/>
      <c r="B16" s="126">
        <v>500</v>
      </c>
      <c r="C16" s="15" t="s">
        <v>38</v>
      </c>
      <c r="D16" s="250" t="s">
        <v>283</v>
      </c>
      <c r="E16" s="295"/>
      <c r="F16" s="296"/>
      <c r="G16" s="29">
        <v>1000</v>
      </c>
      <c r="H16" s="29">
        <v>1.5</v>
      </c>
      <c r="I16" s="29">
        <v>1</v>
      </c>
      <c r="J16" s="21">
        <f>I16*H16*G16</f>
        <v>1500</v>
      </c>
      <c r="K16" s="50" t="s">
        <v>258</v>
      </c>
      <c r="L16" s="143">
        <f t="shared" si="1"/>
        <v>1.7583333333333331</v>
      </c>
      <c r="M16" s="124" t="s">
        <v>589</v>
      </c>
      <c r="P16">
        <v>666</v>
      </c>
    </row>
    <row r="17" spans="1:16" ht="14.4" customHeight="1">
      <c r="A17" s="237" t="s">
        <v>39</v>
      </c>
      <c r="B17" s="238"/>
      <c r="C17" s="238"/>
      <c r="D17" s="238"/>
      <c r="E17" s="238"/>
      <c r="F17" s="238"/>
      <c r="G17" s="238"/>
      <c r="H17" s="238"/>
      <c r="I17" s="238"/>
      <c r="J17" s="238"/>
      <c r="K17" s="238"/>
      <c r="L17" s="239"/>
      <c r="M17" s="61"/>
      <c r="P17">
        <f>SUM(P11:P16)</f>
        <v>4000</v>
      </c>
    </row>
    <row r="18" spans="1:16" ht="14.4" customHeight="1">
      <c r="A18" s="211" t="s">
        <v>45</v>
      </c>
      <c r="B18" s="267">
        <v>230</v>
      </c>
      <c r="C18" s="12" t="s">
        <v>65</v>
      </c>
      <c r="D18" s="270" t="s">
        <v>399</v>
      </c>
      <c r="E18" s="279"/>
      <c r="F18" s="278"/>
      <c r="G18" s="12">
        <v>3</v>
      </c>
      <c r="H18" s="21">
        <v>1.8</v>
      </c>
      <c r="I18" s="21">
        <v>1.8</v>
      </c>
      <c r="J18" s="21">
        <f>I18*H18*G18</f>
        <v>9.7200000000000006</v>
      </c>
      <c r="K18" s="79" t="s">
        <v>258</v>
      </c>
      <c r="L18" s="264">
        <f>((B18*211)+(B18*211*2/3))/100000</f>
        <v>0.80883333333333329</v>
      </c>
      <c r="M18" s="328" t="s">
        <v>592</v>
      </c>
    </row>
    <row r="19" spans="1:16" ht="14.4" customHeight="1">
      <c r="A19" s="211"/>
      <c r="B19" s="269"/>
      <c r="C19" s="12" t="s">
        <v>67</v>
      </c>
      <c r="D19" s="270" t="s">
        <v>399</v>
      </c>
      <c r="E19" s="279"/>
      <c r="F19" s="278"/>
      <c r="G19" s="12">
        <v>3</v>
      </c>
      <c r="H19" s="21">
        <v>1.8</v>
      </c>
      <c r="I19" s="21">
        <v>1.8</v>
      </c>
      <c r="J19" s="21">
        <f>I19*H19*G19</f>
        <v>9.7200000000000006</v>
      </c>
      <c r="K19" s="79" t="s">
        <v>258</v>
      </c>
      <c r="L19" s="266"/>
      <c r="M19" s="329"/>
    </row>
    <row r="20" spans="1:16" ht="14.4" customHeight="1">
      <c r="A20" s="211" t="s">
        <v>46</v>
      </c>
      <c r="B20" s="50">
        <v>500</v>
      </c>
      <c r="C20" s="13" t="s">
        <v>400</v>
      </c>
      <c r="D20" s="301" t="s">
        <v>401</v>
      </c>
      <c r="E20" s="248"/>
      <c r="F20" s="249"/>
      <c r="G20" s="12">
        <v>3</v>
      </c>
      <c r="H20" s="21">
        <v>3</v>
      </c>
      <c r="I20" s="21">
        <v>0.3</v>
      </c>
      <c r="J20" s="21">
        <f t="shared" ref="J20:J25" si="2">I20*H20*G20</f>
        <v>2.6999999999999997</v>
      </c>
      <c r="K20" s="79" t="s">
        <v>258</v>
      </c>
      <c r="L20" s="143">
        <f>((B20*211)+(B20*211*2/3))/100000</f>
        <v>1.7583333333333331</v>
      </c>
      <c r="M20" s="95" t="s">
        <v>590</v>
      </c>
    </row>
    <row r="21" spans="1:16" ht="14.4" customHeight="1">
      <c r="A21" s="211"/>
      <c r="B21" s="126">
        <v>500</v>
      </c>
      <c r="C21" s="13" t="s">
        <v>154</v>
      </c>
      <c r="D21" s="301" t="s">
        <v>283</v>
      </c>
      <c r="E21" s="302"/>
      <c r="F21" s="303"/>
      <c r="G21" s="12">
        <v>20</v>
      </c>
      <c r="H21" s="21">
        <v>3</v>
      </c>
      <c r="I21" s="21">
        <v>1.2</v>
      </c>
      <c r="J21" s="21">
        <f t="shared" si="2"/>
        <v>72</v>
      </c>
      <c r="K21" s="79" t="s">
        <v>258</v>
      </c>
      <c r="L21" s="143">
        <f t="shared" ref="L21:L25" si="3">((B21*211)+(B21*211*2/3))/100000</f>
        <v>1.7583333333333331</v>
      </c>
      <c r="M21" s="94" t="s">
        <v>591</v>
      </c>
    </row>
    <row r="22" spans="1:16" ht="14.4" customHeight="1">
      <c r="A22" s="211"/>
      <c r="B22" s="126">
        <v>500</v>
      </c>
      <c r="C22" s="13" t="s">
        <v>154</v>
      </c>
      <c r="D22" s="301" t="s">
        <v>283</v>
      </c>
      <c r="E22" s="302"/>
      <c r="F22" s="303"/>
      <c r="G22" s="12">
        <v>20</v>
      </c>
      <c r="H22" s="21">
        <v>3</v>
      </c>
      <c r="I22" s="21">
        <v>1.2</v>
      </c>
      <c r="J22" s="21">
        <f t="shared" ref="J22:J24" si="4">I22*H22*G22</f>
        <v>72</v>
      </c>
      <c r="K22" s="126" t="s">
        <v>258</v>
      </c>
      <c r="L22" s="143">
        <f t="shared" si="3"/>
        <v>1.7583333333333331</v>
      </c>
      <c r="M22" s="94"/>
    </row>
    <row r="23" spans="1:16" ht="14.4" customHeight="1">
      <c r="A23" s="211"/>
      <c r="B23" s="126">
        <v>500</v>
      </c>
      <c r="C23" s="13" t="s">
        <v>154</v>
      </c>
      <c r="D23" s="301" t="s">
        <v>283</v>
      </c>
      <c r="E23" s="302"/>
      <c r="F23" s="303"/>
      <c r="G23" s="12">
        <v>20</v>
      </c>
      <c r="H23" s="21">
        <v>3</v>
      </c>
      <c r="I23" s="21">
        <v>1.2</v>
      </c>
      <c r="J23" s="21">
        <f t="shared" si="4"/>
        <v>72</v>
      </c>
      <c r="K23" s="126" t="s">
        <v>258</v>
      </c>
      <c r="L23" s="143">
        <f t="shared" si="3"/>
        <v>1.7583333333333331</v>
      </c>
      <c r="M23" s="94"/>
    </row>
    <row r="24" spans="1:16" ht="14.4" customHeight="1">
      <c r="A24" s="211"/>
      <c r="B24" s="126">
        <v>500</v>
      </c>
      <c r="C24" s="13" t="s">
        <v>154</v>
      </c>
      <c r="D24" s="301" t="s">
        <v>283</v>
      </c>
      <c r="E24" s="302"/>
      <c r="F24" s="303"/>
      <c r="G24" s="12">
        <v>20</v>
      </c>
      <c r="H24" s="21">
        <v>3</v>
      </c>
      <c r="I24" s="21">
        <v>1.2</v>
      </c>
      <c r="J24" s="21">
        <f t="shared" si="4"/>
        <v>72</v>
      </c>
      <c r="K24" s="126" t="s">
        <v>258</v>
      </c>
      <c r="L24" s="143">
        <f t="shared" si="3"/>
        <v>1.7583333333333331</v>
      </c>
      <c r="M24" s="94"/>
    </row>
    <row r="25" spans="1:16" ht="14.4" customHeight="1">
      <c r="A25" s="211"/>
      <c r="B25" s="50">
        <v>600</v>
      </c>
      <c r="C25" s="13" t="s">
        <v>402</v>
      </c>
      <c r="D25" s="301" t="s">
        <v>401</v>
      </c>
      <c r="E25" s="248"/>
      <c r="F25" s="249"/>
      <c r="G25" s="12">
        <v>30</v>
      </c>
      <c r="H25" s="21">
        <v>0.1</v>
      </c>
      <c r="I25" s="21">
        <v>2</v>
      </c>
      <c r="J25" s="21">
        <f t="shared" si="2"/>
        <v>6</v>
      </c>
      <c r="K25" s="79" t="s">
        <v>258</v>
      </c>
      <c r="L25" s="143">
        <f t="shared" si="3"/>
        <v>2.11</v>
      </c>
      <c r="M25" s="94"/>
    </row>
    <row r="26" spans="1:16" ht="14.4" customHeight="1">
      <c r="A26" s="237" t="s">
        <v>71</v>
      </c>
      <c r="B26" s="238"/>
      <c r="C26" s="238"/>
      <c r="D26" s="238"/>
      <c r="E26" s="238"/>
      <c r="F26" s="238"/>
      <c r="G26" s="238"/>
      <c r="H26" s="238"/>
      <c r="I26" s="238"/>
      <c r="J26" s="238"/>
      <c r="K26" s="238"/>
      <c r="L26" s="239"/>
      <c r="M26" s="20"/>
    </row>
    <row r="27" spans="1:16" ht="28.95" customHeight="1">
      <c r="A27" s="73" t="s">
        <v>73</v>
      </c>
      <c r="B27" s="50">
        <v>1000</v>
      </c>
      <c r="C27" s="14" t="s">
        <v>74</v>
      </c>
      <c r="D27" s="207" t="s">
        <v>399</v>
      </c>
      <c r="E27" s="294"/>
      <c r="F27" s="274"/>
      <c r="G27" s="14">
        <v>5</v>
      </c>
      <c r="H27" s="21">
        <v>3.6</v>
      </c>
      <c r="I27" s="21">
        <v>3</v>
      </c>
      <c r="J27" s="21">
        <f>I27*H27*G27</f>
        <v>54</v>
      </c>
      <c r="K27" s="79" t="s">
        <v>258</v>
      </c>
      <c r="L27" s="138">
        <f>((B27*211)+(B27*211*2/3))/100000</f>
        <v>3.5166666666666662</v>
      </c>
      <c r="M27" s="124" t="s">
        <v>587</v>
      </c>
    </row>
    <row r="28" spans="1:16">
      <c r="A28" s="240" t="s">
        <v>77</v>
      </c>
      <c r="B28" s="241"/>
      <c r="C28" s="241"/>
      <c r="D28" s="241"/>
      <c r="E28" s="241"/>
      <c r="F28" s="241"/>
      <c r="G28" s="241"/>
      <c r="H28" s="241"/>
      <c r="I28" s="241"/>
      <c r="J28" s="241"/>
      <c r="K28" s="241"/>
      <c r="L28" s="242"/>
      <c r="M28" s="20"/>
    </row>
    <row r="29" spans="1:16" ht="15.6">
      <c r="A29" s="73" t="s">
        <v>78</v>
      </c>
      <c r="B29" s="50">
        <v>100</v>
      </c>
      <c r="C29" s="12" t="s">
        <v>83</v>
      </c>
      <c r="D29" s="270" t="s">
        <v>407</v>
      </c>
      <c r="E29" s="279"/>
      <c r="F29" s="278"/>
      <c r="G29" s="12"/>
      <c r="H29" s="21"/>
      <c r="I29" s="21"/>
      <c r="J29" s="21"/>
      <c r="K29" s="21"/>
      <c r="L29" s="143">
        <f>((B29*211)+(B29*211*2/3))/100000</f>
        <v>0.35166666666666663</v>
      </c>
      <c r="M29" s="95" t="s">
        <v>593</v>
      </c>
    </row>
    <row r="30" spans="1:16" ht="14.4" customHeight="1">
      <c r="A30" s="211" t="s">
        <v>79</v>
      </c>
      <c r="B30" s="267">
        <v>200</v>
      </c>
      <c r="C30" s="12" t="s">
        <v>89</v>
      </c>
      <c r="D30" s="270" t="s">
        <v>404</v>
      </c>
      <c r="E30" s="279"/>
      <c r="F30" s="278"/>
      <c r="G30" s="12">
        <v>3000</v>
      </c>
      <c r="H30" s="21">
        <v>3</v>
      </c>
      <c r="I30" s="21">
        <v>0.1</v>
      </c>
      <c r="J30" s="21">
        <f>I30*H30*G30</f>
        <v>900.00000000000011</v>
      </c>
      <c r="K30" s="79" t="s">
        <v>258</v>
      </c>
      <c r="L30" s="264">
        <f>((B30*211)+(B30*211*2/3))/100000</f>
        <v>0.70333333333333325</v>
      </c>
      <c r="M30" s="261" t="s">
        <v>594</v>
      </c>
    </row>
    <row r="31" spans="1:16">
      <c r="A31" s="211"/>
      <c r="B31" s="268"/>
      <c r="C31" s="330" t="s">
        <v>350</v>
      </c>
      <c r="D31" s="270" t="s">
        <v>405</v>
      </c>
      <c r="E31" s="279"/>
      <c r="F31" s="278"/>
      <c r="G31" s="12">
        <v>500</v>
      </c>
      <c r="H31" s="21">
        <v>1.2</v>
      </c>
      <c r="I31" s="21">
        <v>0.3</v>
      </c>
      <c r="J31" s="21">
        <f t="shared" ref="J31:J34" si="5">I31*H31*G31</f>
        <v>180</v>
      </c>
      <c r="K31" s="79" t="s">
        <v>258</v>
      </c>
      <c r="L31" s="265"/>
      <c r="M31" s="261"/>
    </row>
    <row r="32" spans="1:16">
      <c r="A32" s="211"/>
      <c r="B32" s="269"/>
      <c r="C32" s="331"/>
      <c r="D32" s="270" t="s">
        <v>406</v>
      </c>
      <c r="E32" s="280"/>
      <c r="F32" s="271"/>
      <c r="G32" s="12">
        <v>500</v>
      </c>
      <c r="H32" s="21">
        <v>1.2</v>
      </c>
      <c r="I32" s="21">
        <v>0.3</v>
      </c>
      <c r="J32" s="21">
        <f t="shared" si="5"/>
        <v>180</v>
      </c>
      <c r="K32" s="79" t="s">
        <v>258</v>
      </c>
      <c r="L32" s="266"/>
      <c r="M32" s="261"/>
    </row>
    <row r="33" spans="1:13" ht="28.95" customHeight="1">
      <c r="A33" s="211" t="s">
        <v>81</v>
      </c>
      <c r="B33" s="267">
        <v>600</v>
      </c>
      <c r="C33" s="14" t="s">
        <v>102</v>
      </c>
      <c r="D33" s="207" t="s">
        <v>399</v>
      </c>
      <c r="E33" s="294"/>
      <c r="F33" s="274"/>
      <c r="G33" s="14">
        <v>1000</v>
      </c>
      <c r="H33" s="21">
        <v>0.5</v>
      </c>
      <c r="I33" s="21">
        <v>0.5</v>
      </c>
      <c r="J33" s="21">
        <f t="shared" si="5"/>
        <v>250</v>
      </c>
      <c r="K33" s="79" t="s">
        <v>258</v>
      </c>
      <c r="L33" s="264">
        <f>((B33*211)+(B33*211*2/3))/100000</f>
        <v>2.11</v>
      </c>
      <c r="M33" s="261" t="s">
        <v>595</v>
      </c>
    </row>
    <row r="34" spans="1:13">
      <c r="A34" s="233"/>
      <c r="B34" s="269"/>
      <c r="C34" s="28" t="s">
        <v>110</v>
      </c>
      <c r="D34" s="207" t="s">
        <v>399</v>
      </c>
      <c r="E34" s="294"/>
      <c r="F34" s="274"/>
      <c r="G34" s="28">
        <v>40</v>
      </c>
      <c r="H34" s="21">
        <v>3</v>
      </c>
      <c r="I34" s="21">
        <v>20</v>
      </c>
      <c r="J34" s="21">
        <f t="shared" si="5"/>
        <v>2400</v>
      </c>
      <c r="K34" s="79" t="s">
        <v>258</v>
      </c>
      <c r="L34" s="266"/>
      <c r="M34" s="261"/>
    </row>
    <row r="35" spans="1:13">
      <c r="B35" s="10">
        <f>SUM(B10:B34)</f>
        <v>8730</v>
      </c>
      <c r="L35" s="59">
        <f>SUM(L10:L34)</f>
        <v>30.700499999999995</v>
      </c>
    </row>
    <row r="36" spans="1:13">
      <c r="B36" s="26">
        <f>B3*90</f>
        <v>8730</v>
      </c>
      <c r="L36" s="65">
        <f>E4/100000</f>
        <v>30.700500000000002</v>
      </c>
    </row>
  </sheetData>
  <mergeCells count="53">
    <mergeCell ref="L30:L32"/>
    <mergeCell ref="L33:L34"/>
    <mergeCell ref="A11:A16"/>
    <mergeCell ref="D11:F11"/>
    <mergeCell ref="D12:F12"/>
    <mergeCell ref="D13:F13"/>
    <mergeCell ref="D14:F14"/>
    <mergeCell ref="D15:F15"/>
    <mergeCell ref="C31:C32"/>
    <mergeCell ref="D33:F33"/>
    <mergeCell ref="D30:F30"/>
    <mergeCell ref="D31:F31"/>
    <mergeCell ref="D32:F32"/>
    <mergeCell ref="A17:L17"/>
    <mergeCell ref="D16:F16"/>
    <mergeCell ref="D20:F20"/>
    <mergeCell ref="M18:M19"/>
    <mergeCell ref="B30:B32"/>
    <mergeCell ref="M30:M32"/>
    <mergeCell ref="B33:B34"/>
    <mergeCell ref="M33:M34"/>
    <mergeCell ref="D34:F34"/>
    <mergeCell ref="D29:F29"/>
    <mergeCell ref="D27:F27"/>
    <mergeCell ref="A26:L26"/>
    <mergeCell ref="A28:L28"/>
    <mergeCell ref="D22:F22"/>
    <mergeCell ref="D23:F23"/>
    <mergeCell ref="D24:F24"/>
    <mergeCell ref="L18:L19"/>
    <mergeCell ref="A30:A32"/>
    <mergeCell ref="A33:A34"/>
    <mergeCell ref="M7:M8"/>
    <mergeCell ref="L7:L8"/>
    <mergeCell ref="A9:L9"/>
    <mergeCell ref="A7:A8"/>
    <mergeCell ref="B7:B8"/>
    <mergeCell ref="C7:C8"/>
    <mergeCell ref="D7:F8"/>
    <mergeCell ref="G7:K7"/>
    <mergeCell ref="D10:F10"/>
    <mergeCell ref="G2:I2"/>
    <mergeCell ref="G3:I3"/>
    <mergeCell ref="G4:I4"/>
    <mergeCell ref="G5:I5"/>
    <mergeCell ref="G6:I6"/>
    <mergeCell ref="B18:B19"/>
    <mergeCell ref="D19:F19"/>
    <mergeCell ref="D18:F18"/>
    <mergeCell ref="A18:A19"/>
    <mergeCell ref="A20:A25"/>
    <mergeCell ref="D25:F25"/>
    <mergeCell ref="D21:F21"/>
  </mergeCells>
  <pageMargins left="1.02" right="0.7" top="1.36" bottom="0.75" header="0.61" footer="0.3"/>
  <pageSetup paperSize="9" orientation="landscape" horizontalDpi="300" verticalDpi="300" r:id="rId1"/>
  <headerFooter>
    <oddHeader>&amp;C&amp;G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D19" sqref="D19:F19"/>
    </sheetView>
  </sheetViews>
  <sheetFormatPr defaultRowHeight="14.4"/>
  <cols>
    <col min="1" max="1" width="17" style="9" customWidth="1"/>
    <col min="2" max="2" width="9.6640625" style="10" customWidth="1"/>
    <col min="3" max="3" width="24.5546875" customWidth="1"/>
    <col min="4" max="4" width="7.5546875" style="3" customWidth="1"/>
    <col min="5" max="5" width="9.33203125" style="3" customWidth="1"/>
    <col min="6" max="6" width="4.33203125" style="3" customWidth="1"/>
    <col min="7" max="7" width="5" style="18" customWidth="1"/>
    <col min="8" max="9" width="4.5546875" style="18" customWidth="1"/>
    <col min="10" max="10" width="6.44140625" style="18" customWidth="1"/>
    <col min="11" max="11" width="5.109375" style="18" customWidth="1"/>
    <col min="12" max="12" width="8.88671875" style="59"/>
    <col min="13" max="13" width="22.88671875" bestFit="1" customWidth="1"/>
  </cols>
  <sheetData>
    <row r="1" spans="1:13">
      <c r="A1" s="19" t="s">
        <v>245</v>
      </c>
      <c r="B1" s="6"/>
      <c r="C1" s="16" t="s">
        <v>146</v>
      </c>
      <c r="D1" s="16"/>
      <c r="E1" s="16"/>
      <c r="F1" s="16"/>
      <c r="G1" s="77"/>
      <c r="H1" s="77"/>
      <c r="I1" s="77"/>
      <c r="J1" s="77"/>
      <c r="K1" s="77"/>
      <c r="L1" s="63"/>
      <c r="M1" s="51"/>
    </row>
    <row r="2" spans="1:13">
      <c r="A2" s="1"/>
      <c r="B2" s="6"/>
      <c r="C2" s="2"/>
      <c r="D2" s="2" t="s">
        <v>0</v>
      </c>
      <c r="E2" s="19">
        <f>B3*211*90</f>
        <v>1633140</v>
      </c>
      <c r="F2" s="2"/>
      <c r="G2" s="282"/>
      <c r="H2" s="282"/>
      <c r="I2" s="282"/>
      <c r="J2" s="86"/>
      <c r="K2" s="86"/>
      <c r="L2" s="63"/>
      <c r="M2" s="51"/>
    </row>
    <row r="3" spans="1:13">
      <c r="A3" s="19" t="s">
        <v>1</v>
      </c>
      <c r="B3" s="6">
        <v>86</v>
      </c>
      <c r="C3" s="2"/>
      <c r="D3" s="2" t="s">
        <v>2</v>
      </c>
      <c r="E3" s="19">
        <f>E2*2/3</f>
        <v>1088760</v>
      </c>
      <c r="F3" s="2"/>
      <c r="G3" s="283"/>
      <c r="H3" s="283"/>
      <c r="I3" s="283"/>
      <c r="J3" s="87"/>
      <c r="K3" s="87"/>
      <c r="L3" s="63"/>
      <c r="M3" s="51"/>
    </row>
    <row r="4" spans="1:13">
      <c r="A4" s="7"/>
      <c r="B4" s="5"/>
      <c r="C4" s="2"/>
      <c r="D4" s="2" t="s">
        <v>3</v>
      </c>
      <c r="E4" s="19">
        <f>SUM(E2:E3)</f>
        <v>2721900</v>
      </c>
      <c r="F4" s="2"/>
      <c r="G4" s="283"/>
      <c r="H4" s="283"/>
      <c r="I4" s="283"/>
      <c r="J4" s="87"/>
      <c r="K4" s="87"/>
      <c r="L4" s="63"/>
      <c r="M4" s="51"/>
    </row>
    <row r="5" spans="1:13">
      <c r="A5" s="7"/>
      <c r="B5" s="5"/>
      <c r="C5" s="2"/>
      <c r="D5" s="2" t="s">
        <v>4</v>
      </c>
      <c r="E5" s="19">
        <f>E4*0.06</f>
        <v>163314</v>
      </c>
      <c r="F5" s="2"/>
      <c r="G5" s="283"/>
      <c r="H5" s="283"/>
      <c r="I5" s="283"/>
      <c r="J5" s="87"/>
      <c r="K5" s="87"/>
      <c r="L5" s="63"/>
      <c r="M5" s="51"/>
    </row>
    <row r="6" spans="1:13">
      <c r="A6" s="7"/>
      <c r="B6" s="5"/>
      <c r="C6" s="2"/>
      <c r="D6" s="2" t="s">
        <v>5</v>
      </c>
      <c r="E6" s="19">
        <f>E5+E4</f>
        <v>2885214</v>
      </c>
      <c r="F6" s="2"/>
      <c r="G6" s="284"/>
      <c r="H6" s="284"/>
      <c r="I6" s="284"/>
      <c r="J6" s="88"/>
      <c r="K6" s="88"/>
      <c r="L6" s="63"/>
      <c r="M6" s="51"/>
    </row>
    <row r="7" spans="1:13" ht="21" customHeight="1">
      <c r="A7" s="187" t="s">
        <v>18</v>
      </c>
      <c r="B7" s="186" t="s">
        <v>14</v>
      </c>
      <c r="C7" s="184" t="s">
        <v>147</v>
      </c>
      <c r="D7" s="193" t="s">
        <v>7</v>
      </c>
      <c r="E7" s="194"/>
      <c r="F7" s="184"/>
      <c r="G7" s="234" t="s">
        <v>153</v>
      </c>
      <c r="H7" s="235"/>
      <c r="I7" s="235"/>
      <c r="J7" s="235"/>
      <c r="K7" s="236"/>
      <c r="L7" s="202" t="s">
        <v>144</v>
      </c>
      <c r="M7" s="200" t="s">
        <v>117</v>
      </c>
    </row>
    <row r="8" spans="1:13" ht="27" customHeight="1">
      <c r="A8" s="187"/>
      <c r="B8" s="186"/>
      <c r="C8" s="185"/>
      <c r="D8" s="195"/>
      <c r="E8" s="196"/>
      <c r="F8" s="185"/>
      <c r="G8" s="76" t="s">
        <v>148</v>
      </c>
      <c r="H8" s="76" t="s">
        <v>149</v>
      </c>
      <c r="I8" s="76" t="s">
        <v>150</v>
      </c>
      <c r="J8" s="76" t="s">
        <v>151</v>
      </c>
      <c r="K8" s="76" t="s">
        <v>152</v>
      </c>
      <c r="L8" s="203"/>
      <c r="M8" s="201"/>
    </row>
    <row r="9" spans="1:13" ht="14.4" customHeight="1">
      <c r="A9" s="189" t="s">
        <v>40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60"/>
    </row>
    <row r="10" spans="1:13" ht="15.6">
      <c r="A10" s="75" t="s">
        <v>13</v>
      </c>
      <c r="B10" s="50">
        <v>740</v>
      </c>
      <c r="C10" s="12" t="s">
        <v>34</v>
      </c>
      <c r="D10" s="270" t="s">
        <v>409</v>
      </c>
      <c r="E10" s="279"/>
      <c r="F10" s="278"/>
      <c r="G10" s="84">
        <v>100</v>
      </c>
      <c r="H10" s="21">
        <v>0.3</v>
      </c>
      <c r="I10" s="21">
        <v>0.3</v>
      </c>
      <c r="J10" s="21">
        <f>I10*H10*G10</f>
        <v>9</v>
      </c>
      <c r="K10" s="79" t="s">
        <v>258</v>
      </c>
      <c r="L10" s="143">
        <f>((B10*211)+(B10*211*2/3))/100000</f>
        <v>2.6023333333333332</v>
      </c>
      <c r="M10" s="124" t="s">
        <v>597</v>
      </c>
    </row>
    <row r="11" spans="1:13" ht="15.6">
      <c r="A11" s="190" t="s">
        <v>8</v>
      </c>
      <c r="B11" s="132">
        <v>750</v>
      </c>
      <c r="C11" s="15" t="s">
        <v>38</v>
      </c>
      <c r="D11" s="301" t="s">
        <v>603</v>
      </c>
      <c r="E11" s="248"/>
      <c r="F11" s="249"/>
      <c r="G11" s="131">
        <v>1000</v>
      </c>
      <c r="H11" s="131">
        <v>1.5</v>
      </c>
      <c r="I11" s="131">
        <v>1</v>
      </c>
      <c r="J11" s="21">
        <f t="shared" ref="J11:J13" si="0">I11*H11*G11</f>
        <v>1500</v>
      </c>
      <c r="K11" s="126" t="s">
        <v>258</v>
      </c>
      <c r="L11" s="143">
        <f t="shared" ref="L11:L14" si="1">((B11*211)+(B11*211*2/3))/100000</f>
        <v>2.6375000000000002</v>
      </c>
      <c r="M11" s="133"/>
    </row>
    <row r="12" spans="1:13" ht="15.6">
      <c r="A12" s="191"/>
      <c r="B12" s="132">
        <v>750</v>
      </c>
      <c r="C12" s="15" t="s">
        <v>38</v>
      </c>
      <c r="D12" s="301" t="s">
        <v>603</v>
      </c>
      <c r="E12" s="248"/>
      <c r="F12" s="249"/>
      <c r="G12" s="131">
        <v>1000</v>
      </c>
      <c r="H12" s="131">
        <v>1.5</v>
      </c>
      <c r="I12" s="131">
        <v>1</v>
      </c>
      <c r="J12" s="21">
        <f t="shared" si="0"/>
        <v>1500</v>
      </c>
      <c r="K12" s="126" t="s">
        <v>258</v>
      </c>
      <c r="L12" s="143">
        <f t="shared" si="1"/>
        <v>2.6375000000000002</v>
      </c>
      <c r="M12" s="133"/>
    </row>
    <row r="13" spans="1:13" ht="15.6">
      <c r="A13" s="191"/>
      <c r="B13" s="132">
        <v>750</v>
      </c>
      <c r="C13" s="15" t="s">
        <v>38</v>
      </c>
      <c r="D13" s="301" t="s">
        <v>603</v>
      </c>
      <c r="E13" s="248"/>
      <c r="F13" s="249"/>
      <c r="G13" s="131">
        <v>1000</v>
      </c>
      <c r="H13" s="131">
        <v>1.5</v>
      </c>
      <c r="I13" s="131">
        <v>1</v>
      </c>
      <c r="J13" s="21">
        <f t="shared" si="0"/>
        <v>1500</v>
      </c>
      <c r="K13" s="126" t="s">
        <v>258</v>
      </c>
      <c r="L13" s="143">
        <f t="shared" si="1"/>
        <v>2.6375000000000002</v>
      </c>
      <c r="M13" s="133"/>
    </row>
    <row r="14" spans="1:13" ht="15.6">
      <c r="A14" s="192"/>
      <c r="B14" s="132">
        <v>750</v>
      </c>
      <c r="C14" s="15" t="s">
        <v>38</v>
      </c>
      <c r="D14" s="301" t="s">
        <v>603</v>
      </c>
      <c r="E14" s="248"/>
      <c r="F14" s="249"/>
      <c r="G14" s="29">
        <v>1000</v>
      </c>
      <c r="H14" s="29">
        <v>1.5</v>
      </c>
      <c r="I14" s="29">
        <v>1</v>
      </c>
      <c r="J14" s="21">
        <f>I14*H14*G14</f>
        <v>1500</v>
      </c>
      <c r="K14" s="79" t="s">
        <v>258</v>
      </c>
      <c r="L14" s="143">
        <f t="shared" si="1"/>
        <v>2.6375000000000002</v>
      </c>
      <c r="M14" s="124" t="s">
        <v>598</v>
      </c>
    </row>
    <row r="15" spans="1:13" ht="14.4" customHeight="1">
      <c r="A15" s="237" t="s">
        <v>39</v>
      </c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9"/>
      <c r="M15" s="61"/>
    </row>
    <row r="16" spans="1:13" ht="43.2">
      <c r="A16" s="73" t="s">
        <v>41</v>
      </c>
      <c r="B16" s="50">
        <v>900</v>
      </c>
      <c r="C16" s="14" t="s">
        <v>48</v>
      </c>
      <c r="D16" s="207" t="s">
        <v>408</v>
      </c>
      <c r="E16" s="208"/>
      <c r="F16" s="209"/>
      <c r="G16" s="125">
        <v>100</v>
      </c>
      <c r="H16" s="21">
        <v>100</v>
      </c>
      <c r="I16" s="21">
        <v>0.3</v>
      </c>
      <c r="J16" s="21">
        <f>I16*H16*G16</f>
        <v>3000</v>
      </c>
      <c r="K16" s="79" t="s">
        <v>258</v>
      </c>
      <c r="L16" s="138">
        <f>((B16*211)+(B16*211*2/3))/100000</f>
        <v>3.165</v>
      </c>
      <c r="M16" s="123" t="s">
        <v>599</v>
      </c>
    </row>
    <row r="17" spans="1:13" ht="28.8">
      <c r="A17" s="73" t="s">
        <v>46</v>
      </c>
      <c r="B17" s="50">
        <v>1000</v>
      </c>
      <c r="C17" s="13" t="s">
        <v>154</v>
      </c>
      <c r="D17" s="270" t="s">
        <v>408</v>
      </c>
      <c r="E17" s="280"/>
      <c r="F17" s="271"/>
      <c r="G17" s="101">
        <v>30</v>
      </c>
      <c r="H17" s="21">
        <f>(4+2)/2</f>
        <v>3</v>
      </c>
      <c r="I17" s="21">
        <v>1.2</v>
      </c>
      <c r="J17" s="21">
        <f>I17*H17*G17</f>
        <v>107.99999999999999</v>
      </c>
      <c r="K17" s="79" t="s">
        <v>258</v>
      </c>
      <c r="L17" s="138">
        <f>((B17*211)+(B17*211*2/3))/100000</f>
        <v>3.5166666666666662</v>
      </c>
      <c r="M17" s="124" t="s">
        <v>600</v>
      </c>
    </row>
    <row r="18" spans="1:13">
      <c r="A18" s="240" t="s">
        <v>77</v>
      </c>
      <c r="B18" s="241"/>
      <c r="C18" s="241"/>
      <c r="D18" s="241"/>
      <c r="E18" s="241"/>
      <c r="F18" s="241"/>
      <c r="G18" s="241"/>
      <c r="H18" s="241"/>
      <c r="I18" s="241"/>
      <c r="J18" s="241"/>
      <c r="K18" s="241"/>
      <c r="L18" s="242"/>
      <c r="M18" s="20"/>
    </row>
    <row r="19" spans="1:13" ht="14.4" customHeight="1">
      <c r="A19" s="211" t="s">
        <v>79</v>
      </c>
      <c r="B19" s="267">
        <v>250</v>
      </c>
      <c r="C19" s="332" t="s">
        <v>89</v>
      </c>
      <c r="D19" s="270" t="s">
        <v>411</v>
      </c>
      <c r="E19" s="280"/>
      <c r="F19" s="271"/>
      <c r="G19" s="84">
        <v>500</v>
      </c>
      <c r="H19" s="21">
        <v>4</v>
      </c>
      <c r="I19" s="21">
        <v>0.1</v>
      </c>
      <c r="J19" s="21">
        <f>I19*H19*G19</f>
        <v>200</v>
      </c>
      <c r="K19" s="79" t="s">
        <v>258</v>
      </c>
      <c r="L19" s="264">
        <f>((B19*211)+(B19*211*2/3))/100000</f>
        <v>0.87916666666666654</v>
      </c>
      <c r="M19" s="328" t="s">
        <v>601</v>
      </c>
    </row>
    <row r="20" spans="1:13" ht="14.4" customHeight="1">
      <c r="A20" s="211"/>
      <c r="B20" s="268"/>
      <c r="C20" s="333"/>
      <c r="D20" s="270" t="s">
        <v>412</v>
      </c>
      <c r="E20" s="280"/>
      <c r="F20" s="271"/>
      <c r="G20" s="84">
        <v>200</v>
      </c>
      <c r="H20" s="21">
        <v>2</v>
      </c>
      <c r="I20" s="21">
        <v>0.1</v>
      </c>
      <c r="J20" s="21">
        <f>I20*H20*G20</f>
        <v>40</v>
      </c>
      <c r="K20" s="79" t="s">
        <v>258</v>
      </c>
      <c r="L20" s="265"/>
      <c r="M20" s="335"/>
    </row>
    <row r="21" spans="1:13" ht="14.4" customHeight="1">
      <c r="A21" s="211"/>
      <c r="B21" s="268"/>
      <c r="C21" s="334"/>
      <c r="D21" s="270" t="s">
        <v>413</v>
      </c>
      <c r="E21" s="280"/>
      <c r="F21" s="271"/>
      <c r="G21" s="84">
        <v>30</v>
      </c>
      <c r="H21" s="21">
        <v>2</v>
      </c>
      <c r="I21" s="21">
        <v>0.1</v>
      </c>
      <c r="J21" s="21">
        <f>I21*H21*G21</f>
        <v>6</v>
      </c>
      <c r="K21" s="79" t="s">
        <v>258</v>
      </c>
      <c r="L21" s="266"/>
      <c r="M21" s="335"/>
    </row>
    <row r="22" spans="1:13" ht="14.4" customHeight="1">
      <c r="A22" s="211"/>
      <c r="B22" s="268">
        <v>250</v>
      </c>
      <c r="C22" s="332" t="s">
        <v>100</v>
      </c>
      <c r="D22" s="270" t="s">
        <v>411</v>
      </c>
      <c r="E22" s="280"/>
      <c r="F22" s="271"/>
      <c r="G22" s="84">
        <v>500</v>
      </c>
      <c r="H22" s="21">
        <v>0.5</v>
      </c>
      <c r="I22" s="21">
        <v>0.5</v>
      </c>
      <c r="J22" s="21">
        <f t="shared" ref="J22:J25" si="2">I22*H22*G22</f>
        <v>125</v>
      </c>
      <c r="K22" s="79" t="s">
        <v>258</v>
      </c>
      <c r="L22" s="264">
        <f>((B22*211)+(B22*211*2/3))/100000</f>
        <v>0.87916666666666654</v>
      </c>
      <c r="M22" s="261"/>
    </row>
    <row r="23" spans="1:13" ht="14.4" customHeight="1">
      <c r="A23" s="211"/>
      <c r="B23" s="269"/>
      <c r="C23" s="334"/>
      <c r="D23" s="270" t="s">
        <v>412</v>
      </c>
      <c r="E23" s="280"/>
      <c r="F23" s="271"/>
      <c r="G23" s="84">
        <v>200</v>
      </c>
      <c r="H23" s="21">
        <v>0.5</v>
      </c>
      <c r="I23" s="21">
        <v>0.5</v>
      </c>
      <c r="J23" s="21">
        <f t="shared" si="2"/>
        <v>50</v>
      </c>
      <c r="K23" s="79" t="s">
        <v>258</v>
      </c>
      <c r="L23" s="266"/>
      <c r="M23" s="261"/>
    </row>
    <row r="24" spans="1:13" ht="28.8">
      <c r="A24" s="53" t="s">
        <v>80</v>
      </c>
      <c r="B24" s="50">
        <v>800</v>
      </c>
      <c r="C24" s="25" t="s">
        <v>101</v>
      </c>
      <c r="D24" s="262" t="s">
        <v>408</v>
      </c>
      <c r="E24" s="319"/>
      <c r="F24" s="263"/>
      <c r="G24" s="73">
        <v>30</v>
      </c>
      <c r="H24" s="21">
        <v>20</v>
      </c>
      <c r="I24" s="21">
        <v>8</v>
      </c>
      <c r="J24" s="21">
        <f t="shared" si="2"/>
        <v>4800</v>
      </c>
      <c r="K24" s="79" t="s">
        <v>258</v>
      </c>
      <c r="L24" s="138">
        <f>((B24*211)+(B24*211*2/3))/100000</f>
        <v>2.813333333333333</v>
      </c>
      <c r="M24" s="124" t="s">
        <v>602</v>
      </c>
    </row>
    <row r="25" spans="1:13" ht="43.2">
      <c r="A25" s="73" t="s">
        <v>81</v>
      </c>
      <c r="B25" s="50">
        <v>800</v>
      </c>
      <c r="C25" s="28" t="s">
        <v>113</v>
      </c>
      <c r="D25" s="207" t="s">
        <v>410</v>
      </c>
      <c r="E25" s="208"/>
      <c r="F25" s="209"/>
      <c r="G25" s="75">
        <v>30</v>
      </c>
      <c r="H25" s="21">
        <f>I25/6+0.45</f>
        <v>1.2833333333333334</v>
      </c>
      <c r="I25" s="21">
        <v>5</v>
      </c>
      <c r="J25" s="21">
        <f t="shared" si="2"/>
        <v>192.5</v>
      </c>
      <c r="K25" s="79" t="s">
        <v>258</v>
      </c>
      <c r="L25" s="138">
        <f>((B25*211)+(B25*211*2/3))/100000</f>
        <v>2.813333333333333</v>
      </c>
      <c r="M25" s="124" t="s">
        <v>596</v>
      </c>
    </row>
    <row r="26" spans="1:13">
      <c r="B26" s="10">
        <f>SUM(B10:B25)</f>
        <v>7740</v>
      </c>
      <c r="L26" s="59">
        <f>SUM(L10:L25)</f>
        <v>27.218999999999998</v>
      </c>
    </row>
    <row r="27" spans="1:13">
      <c r="B27" s="26">
        <f>B3*90</f>
        <v>7740</v>
      </c>
      <c r="L27" s="65">
        <f>E4/100000</f>
        <v>27.219000000000001</v>
      </c>
    </row>
  </sheetData>
  <mergeCells count="39">
    <mergeCell ref="B22:B23"/>
    <mergeCell ref="M19:M21"/>
    <mergeCell ref="M22:M23"/>
    <mergeCell ref="A19:A23"/>
    <mergeCell ref="A18:L18"/>
    <mergeCell ref="L19:L21"/>
    <mergeCell ref="L22:L23"/>
    <mergeCell ref="B19:B21"/>
    <mergeCell ref="D24:F24"/>
    <mergeCell ref="D25:F25"/>
    <mergeCell ref="C19:C21"/>
    <mergeCell ref="D19:F19"/>
    <mergeCell ref="D20:F20"/>
    <mergeCell ref="D21:F21"/>
    <mergeCell ref="C22:C23"/>
    <mergeCell ref="D22:F22"/>
    <mergeCell ref="D23:F23"/>
    <mergeCell ref="M7:M8"/>
    <mergeCell ref="A9:L9"/>
    <mergeCell ref="D7:F8"/>
    <mergeCell ref="L7:L8"/>
    <mergeCell ref="C7:C8"/>
    <mergeCell ref="A7:A8"/>
    <mergeCell ref="B7:B8"/>
    <mergeCell ref="D10:F10"/>
    <mergeCell ref="D14:F14"/>
    <mergeCell ref="D16:F16"/>
    <mergeCell ref="D17:F17"/>
    <mergeCell ref="G2:I2"/>
    <mergeCell ref="G3:I3"/>
    <mergeCell ref="G4:I4"/>
    <mergeCell ref="G5:I5"/>
    <mergeCell ref="G6:I6"/>
    <mergeCell ref="G7:K7"/>
    <mergeCell ref="A15:L15"/>
    <mergeCell ref="A11:A14"/>
    <mergeCell ref="D11:F11"/>
    <mergeCell ref="D12:F12"/>
    <mergeCell ref="D13:F13"/>
  </mergeCells>
  <printOptions horizontalCentered="1"/>
  <pageMargins left="0.93" right="0.7" top="1.36" bottom="0.75" header="0.51" footer="0.3"/>
  <pageSetup paperSize="9" orientation="landscape" horizontalDpi="300" verticalDpi="300" r:id="rId1"/>
  <headerFooter>
    <oddHeader>&amp;C&amp;G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205"/>
  <sheetViews>
    <sheetView topLeftCell="A57" workbookViewId="0">
      <selection activeCell="J83" sqref="J83"/>
    </sheetView>
  </sheetViews>
  <sheetFormatPr defaultRowHeight="14.4"/>
  <cols>
    <col min="1" max="1" width="17" style="9" customWidth="1"/>
    <col min="2" max="2" width="7" style="9" customWidth="1"/>
    <col min="3" max="3" width="19.109375" style="9" customWidth="1"/>
    <col min="4" max="4" width="14.33203125" style="38" bestFit="1" customWidth="1"/>
    <col min="5" max="5" width="7.33203125" style="18" customWidth="1"/>
    <col min="6" max="6" width="13.33203125" style="10" bestFit="1" customWidth="1"/>
  </cols>
  <sheetData>
    <row r="1" spans="1:6">
      <c r="A1" s="340" t="s">
        <v>145</v>
      </c>
      <c r="B1" s="340"/>
      <c r="C1" s="340"/>
      <c r="D1" s="340"/>
      <c r="E1" s="340"/>
      <c r="F1" s="340"/>
    </row>
    <row r="2" spans="1:6">
      <c r="A2" s="19"/>
      <c r="B2" s="19"/>
      <c r="C2" s="19" t="s">
        <v>118</v>
      </c>
      <c r="D2" s="37"/>
      <c r="E2" s="6"/>
      <c r="F2" s="45"/>
    </row>
    <row r="3" spans="1:6">
      <c r="A3" s="1"/>
      <c r="B3" s="19"/>
      <c r="C3" s="19" t="s">
        <v>0</v>
      </c>
      <c r="D3" s="34">
        <f>Bairabi!B3*100*194</f>
        <v>12513000</v>
      </c>
      <c r="E3" s="6"/>
      <c r="F3" s="11"/>
    </row>
    <row r="4" spans="1:6">
      <c r="A4" s="19"/>
      <c r="B4" s="19"/>
      <c r="C4" s="19" t="s">
        <v>2</v>
      </c>
      <c r="D4" s="35">
        <f>D3*1/9</f>
        <v>1390333.3333333333</v>
      </c>
      <c r="E4" s="6"/>
      <c r="F4" s="22"/>
    </row>
    <row r="5" spans="1:6">
      <c r="A5" s="7"/>
      <c r="B5" s="19"/>
      <c r="C5" s="19" t="s">
        <v>3</v>
      </c>
      <c r="D5" s="35">
        <f>SUM(D3:D4)</f>
        <v>13903333.333333334</v>
      </c>
      <c r="E5" s="6"/>
      <c r="F5" s="11"/>
    </row>
    <row r="6" spans="1:6">
      <c r="A6" s="7"/>
      <c r="B6" s="19"/>
      <c r="C6" s="19" t="s">
        <v>4</v>
      </c>
      <c r="D6" s="35">
        <f>D5*0.06</f>
        <v>834200</v>
      </c>
      <c r="E6" s="6"/>
      <c r="F6" s="11"/>
    </row>
    <row r="7" spans="1:6">
      <c r="A7" s="7"/>
      <c r="B7" s="19"/>
      <c r="C7" s="19" t="s">
        <v>5</v>
      </c>
      <c r="D7" s="36">
        <f>SUM(D5:D6)</f>
        <v>14737533.333333334</v>
      </c>
      <c r="E7" s="6"/>
      <c r="F7" s="11"/>
    </row>
    <row r="8" spans="1:6" ht="28.8">
      <c r="A8" s="32" t="s">
        <v>18</v>
      </c>
      <c r="B8" s="341" t="s">
        <v>6</v>
      </c>
      <c r="C8" s="342"/>
      <c r="D8" s="343"/>
      <c r="E8" s="40" t="s">
        <v>111</v>
      </c>
      <c r="F8" s="40" t="s">
        <v>112</v>
      </c>
    </row>
    <row r="9" spans="1:6">
      <c r="A9" s="189" t="s">
        <v>40</v>
      </c>
      <c r="B9" s="189"/>
      <c r="C9" s="189"/>
      <c r="D9" s="189"/>
      <c r="E9" s="189"/>
      <c r="F9" s="189"/>
    </row>
    <row r="10" spans="1:6">
      <c r="A10" s="281" t="s">
        <v>19</v>
      </c>
      <c r="B10" s="314" t="s">
        <v>20</v>
      </c>
      <c r="C10" s="208"/>
      <c r="D10" s="209"/>
      <c r="E10" s="42"/>
      <c r="F10" s="44"/>
    </row>
    <row r="11" spans="1:6">
      <c r="A11" s="281"/>
      <c r="B11" s="314" t="s">
        <v>21</v>
      </c>
      <c r="C11" s="208"/>
      <c r="D11" s="209"/>
      <c r="E11" s="42"/>
      <c r="F11" s="44"/>
    </row>
    <row r="12" spans="1:6">
      <c r="A12" s="281"/>
      <c r="B12" s="314" t="s">
        <v>22</v>
      </c>
      <c r="C12" s="208"/>
      <c r="D12" s="209"/>
      <c r="E12" s="42"/>
      <c r="F12" s="44"/>
    </row>
    <row r="13" spans="1:6">
      <c r="A13" s="281"/>
      <c r="B13" s="314" t="s">
        <v>23</v>
      </c>
      <c r="C13" s="208"/>
      <c r="D13" s="209"/>
      <c r="E13" s="42"/>
      <c r="F13" s="44"/>
    </row>
    <row r="14" spans="1:6">
      <c r="A14" s="281"/>
      <c r="B14" s="314" t="s">
        <v>12</v>
      </c>
      <c r="C14" s="208"/>
      <c r="D14" s="209"/>
      <c r="E14" s="42"/>
      <c r="F14" s="44"/>
    </row>
    <row r="15" spans="1:6">
      <c r="A15" s="281"/>
      <c r="B15" s="314" t="s">
        <v>24</v>
      </c>
      <c r="C15" s="208"/>
      <c r="D15" s="209"/>
      <c r="E15" s="42"/>
      <c r="F15" s="44"/>
    </row>
    <row r="16" spans="1:6">
      <c r="A16" s="281" t="s">
        <v>25</v>
      </c>
      <c r="B16" s="272" t="s">
        <v>17</v>
      </c>
      <c r="C16" s="297"/>
      <c r="D16" s="273"/>
      <c r="E16" s="21"/>
      <c r="F16" s="44"/>
    </row>
    <row r="17" spans="1:6">
      <c r="A17" s="281"/>
      <c r="B17" s="307" t="s">
        <v>16</v>
      </c>
      <c r="C17" s="280"/>
      <c r="D17" s="271"/>
      <c r="E17" s="21"/>
      <c r="F17" s="44"/>
    </row>
    <row r="18" spans="1:6">
      <c r="A18" s="281"/>
      <c r="B18" s="307" t="s">
        <v>28</v>
      </c>
      <c r="C18" s="280"/>
      <c r="D18" s="271"/>
      <c r="E18" s="21"/>
      <c r="F18" s="44"/>
    </row>
    <row r="19" spans="1:6">
      <c r="A19" s="281"/>
      <c r="B19" s="247" t="s">
        <v>11</v>
      </c>
      <c r="C19" s="248"/>
      <c r="D19" s="249"/>
      <c r="E19" s="21"/>
      <c r="F19" s="44"/>
    </row>
    <row r="20" spans="1:6">
      <c r="A20" s="281"/>
      <c r="B20" s="247" t="s">
        <v>29</v>
      </c>
      <c r="C20" s="248"/>
      <c r="D20" s="249"/>
      <c r="E20" s="21"/>
      <c r="F20" s="44"/>
    </row>
    <row r="21" spans="1:6">
      <c r="A21" s="336" t="s">
        <v>26</v>
      </c>
      <c r="B21" s="337" t="s">
        <v>108</v>
      </c>
      <c r="C21" s="338"/>
      <c r="D21" s="339"/>
      <c r="E21" s="21"/>
      <c r="F21" s="44"/>
    </row>
    <row r="22" spans="1:6">
      <c r="A22" s="336"/>
      <c r="B22" s="247" t="s">
        <v>30</v>
      </c>
      <c r="C22" s="248"/>
      <c r="D22" s="249"/>
      <c r="E22" s="21"/>
      <c r="F22" s="47"/>
    </row>
    <row r="23" spans="1:6">
      <c r="A23" s="281" t="s">
        <v>27</v>
      </c>
      <c r="B23" s="307" t="s">
        <v>31</v>
      </c>
      <c r="C23" s="280"/>
      <c r="D23" s="271"/>
      <c r="E23" s="21"/>
      <c r="F23" s="44"/>
    </row>
    <row r="24" spans="1:6">
      <c r="A24" s="281"/>
      <c r="B24" s="307" t="s">
        <v>32</v>
      </c>
      <c r="C24" s="280"/>
      <c r="D24" s="271"/>
      <c r="E24" s="21"/>
      <c r="F24" s="44"/>
    </row>
    <row r="25" spans="1:6">
      <c r="A25" s="281" t="s">
        <v>13</v>
      </c>
      <c r="B25" s="307" t="s">
        <v>9</v>
      </c>
      <c r="C25" s="280"/>
      <c r="D25" s="271"/>
      <c r="E25" s="21"/>
      <c r="F25" s="44"/>
    </row>
    <row r="26" spans="1:6">
      <c r="A26" s="281"/>
      <c r="B26" s="307" t="s">
        <v>33</v>
      </c>
      <c r="C26" s="280"/>
      <c r="D26" s="271"/>
      <c r="E26" s="21"/>
      <c r="F26" s="44"/>
    </row>
    <row r="27" spans="1:6">
      <c r="A27" s="281"/>
      <c r="B27" s="307" t="s">
        <v>34</v>
      </c>
      <c r="C27" s="280"/>
      <c r="D27" s="271"/>
      <c r="E27" s="21"/>
      <c r="F27" s="44"/>
    </row>
    <row r="28" spans="1:6">
      <c r="A28" s="281"/>
      <c r="B28" s="307" t="s">
        <v>35</v>
      </c>
      <c r="C28" s="280"/>
      <c r="D28" s="271"/>
      <c r="E28" s="21"/>
      <c r="F28" s="44"/>
    </row>
    <row r="29" spans="1:6">
      <c r="A29" s="17" t="s">
        <v>8</v>
      </c>
      <c r="B29" s="244" t="s">
        <v>38</v>
      </c>
      <c r="C29" s="245"/>
      <c r="D29" s="246"/>
      <c r="E29" s="21"/>
      <c r="F29" s="44"/>
    </row>
    <row r="30" spans="1:6">
      <c r="A30" s="188" t="s">
        <v>39</v>
      </c>
      <c r="B30" s="188"/>
      <c r="C30" s="188"/>
      <c r="D30" s="188"/>
      <c r="E30" s="188"/>
      <c r="F30" s="188"/>
    </row>
    <row r="31" spans="1:6">
      <c r="A31" s="211" t="s">
        <v>41</v>
      </c>
      <c r="B31" s="307" t="s">
        <v>47</v>
      </c>
      <c r="C31" s="280"/>
      <c r="D31" s="271"/>
      <c r="E31" s="21"/>
      <c r="F31" s="44"/>
    </row>
    <row r="32" spans="1:6">
      <c r="A32" s="211"/>
      <c r="B32" s="307" t="s">
        <v>48</v>
      </c>
      <c r="C32" s="280"/>
      <c r="D32" s="271"/>
      <c r="E32" s="21"/>
      <c r="F32" s="44"/>
    </row>
    <row r="33" spans="1:6">
      <c r="A33" s="211"/>
      <c r="B33" s="307" t="s">
        <v>49</v>
      </c>
      <c r="C33" s="280"/>
      <c r="D33" s="271"/>
      <c r="E33" s="21"/>
      <c r="F33" s="44"/>
    </row>
    <row r="34" spans="1:6">
      <c r="A34" s="211"/>
      <c r="B34" s="307" t="s">
        <v>50</v>
      </c>
      <c r="C34" s="280"/>
      <c r="D34" s="271"/>
      <c r="E34" s="21"/>
      <c r="F34" s="44"/>
    </row>
    <row r="35" spans="1:6">
      <c r="A35" s="211"/>
      <c r="B35" s="307" t="s">
        <v>51</v>
      </c>
      <c r="C35" s="280"/>
      <c r="D35" s="271"/>
      <c r="E35" s="21"/>
      <c r="F35" s="44"/>
    </row>
    <row r="36" spans="1:6">
      <c r="A36" s="211"/>
      <c r="B36" s="270" t="s">
        <v>52</v>
      </c>
      <c r="C36" s="279"/>
      <c r="D36" s="278"/>
      <c r="E36" s="21"/>
      <c r="F36" s="44"/>
    </row>
    <row r="37" spans="1:6">
      <c r="A37" s="211"/>
      <c r="B37" s="307" t="s">
        <v>12</v>
      </c>
      <c r="C37" s="280"/>
      <c r="D37" s="271"/>
      <c r="E37" s="21"/>
      <c r="F37" s="44"/>
    </row>
    <row r="38" spans="1:6">
      <c r="A38" s="211"/>
      <c r="B38" s="247" t="s">
        <v>8</v>
      </c>
      <c r="C38" s="248"/>
      <c r="D38" s="249"/>
      <c r="E38" s="21"/>
      <c r="F38" s="44"/>
    </row>
    <row r="39" spans="1:6">
      <c r="A39" s="211" t="s">
        <v>42</v>
      </c>
      <c r="B39" s="307" t="s">
        <v>53</v>
      </c>
      <c r="C39" s="280"/>
      <c r="D39" s="271"/>
      <c r="E39" s="21"/>
      <c r="F39" s="44"/>
    </row>
    <row r="40" spans="1:6">
      <c r="A40" s="211"/>
      <c r="B40" s="307" t="s">
        <v>54</v>
      </c>
      <c r="C40" s="280"/>
      <c r="D40" s="271"/>
      <c r="E40" s="21"/>
      <c r="F40" s="44"/>
    </row>
    <row r="41" spans="1:6">
      <c r="A41" s="211"/>
      <c r="B41" s="307" t="s">
        <v>55</v>
      </c>
      <c r="C41" s="280"/>
      <c r="D41" s="271"/>
      <c r="E41" s="21"/>
      <c r="F41" s="44"/>
    </row>
    <row r="42" spans="1:6">
      <c r="A42" s="211"/>
      <c r="B42" s="307" t="s">
        <v>34</v>
      </c>
      <c r="C42" s="280"/>
      <c r="D42" s="271"/>
      <c r="E42" s="21"/>
      <c r="F42" s="44"/>
    </row>
    <row r="43" spans="1:6">
      <c r="A43" s="211"/>
      <c r="B43" s="307" t="s">
        <v>56</v>
      </c>
      <c r="C43" s="280"/>
      <c r="D43" s="271"/>
      <c r="E43" s="21"/>
      <c r="F43" s="44"/>
    </row>
    <row r="44" spans="1:6">
      <c r="A44" s="211"/>
      <c r="B44" s="307" t="s">
        <v>57</v>
      </c>
      <c r="C44" s="280"/>
      <c r="D44" s="271"/>
      <c r="E44" s="21"/>
      <c r="F44" s="44"/>
    </row>
    <row r="45" spans="1:6">
      <c r="A45" s="211"/>
      <c r="B45" s="307" t="s">
        <v>58</v>
      </c>
      <c r="C45" s="280"/>
      <c r="D45" s="271"/>
      <c r="E45" s="21"/>
      <c r="F45" s="44"/>
    </row>
    <row r="46" spans="1:6">
      <c r="A46" s="211" t="s">
        <v>43</v>
      </c>
      <c r="B46" s="307" t="s">
        <v>36</v>
      </c>
      <c r="C46" s="280"/>
      <c r="D46" s="271"/>
      <c r="E46" s="21"/>
      <c r="F46" s="44"/>
    </row>
    <row r="47" spans="1:6">
      <c r="A47" s="211"/>
      <c r="B47" s="307" t="s">
        <v>59</v>
      </c>
      <c r="C47" s="280"/>
      <c r="D47" s="271"/>
      <c r="E47" s="21"/>
      <c r="F47" s="44"/>
    </row>
    <row r="48" spans="1:6">
      <c r="A48" s="211"/>
      <c r="B48" s="307" t="s">
        <v>37</v>
      </c>
      <c r="C48" s="280"/>
      <c r="D48" s="271"/>
      <c r="E48" s="21"/>
      <c r="F48" s="44"/>
    </row>
    <row r="49" spans="1:6">
      <c r="A49" s="211"/>
      <c r="B49" s="307" t="s">
        <v>60</v>
      </c>
      <c r="C49" s="280"/>
      <c r="D49" s="271"/>
      <c r="E49" s="21"/>
      <c r="F49" s="44"/>
    </row>
    <row r="50" spans="1:6">
      <c r="A50" s="211"/>
      <c r="B50" s="307" t="s">
        <v>61</v>
      </c>
      <c r="C50" s="280"/>
      <c r="D50" s="271"/>
      <c r="E50" s="21"/>
      <c r="F50" s="44"/>
    </row>
    <row r="51" spans="1:6" ht="28.8">
      <c r="A51" s="25" t="s">
        <v>44</v>
      </c>
      <c r="B51" s="314" t="s">
        <v>62</v>
      </c>
      <c r="C51" s="208"/>
      <c r="D51" s="209"/>
      <c r="E51" s="21"/>
      <c r="F51" s="44"/>
    </row>
    <row r="52" spans="1:6">
      <c r="A52" s="211" t="s">
        <v>45</v>
      </c>
      <c r="B52" s="307" t="s">
        <v>63</v>
      </c>
      <c r="C52" s="280"/>
      <c r="D52" s="271"/>
      <c r="E52" s="21"/>
      <c r="F52" s="44"/>
    </row>
    <row r="53" spans="1:6">
      <c r="A53" s="211"/>
      <c r="B53" s="307" t="s">
        <v>64</v>
      </c>
      <c r="C53" s="280"/>
      <c r="D53" s="271"/>
      <c r="E53" s="21"/>
      <c r="F53" s="44"/>
    </row>
    <row r="54" spans="1:6">
      <c r="A54" s="211"/>
      <c r="B54" s="307" t="s">
        <v>65</v>
      </c>
      <c r="C54" s="280"/>
      <c r="D54" s="271"/>
      <c r="E54" s="21"/>
      <c r="F54" s="44"/>
    </row>
    <row r="55" spans="1:6">
      <c r="A55" s="211"/>
      <c r="B55" s="307" t="s">
        <v>66</v>
      </c>
      <c r="C55" s="280"/>
      <c r="D55" s="271"/>
      <c r="E55" s="21"/>
      <c r="F55" s="44"/>
    </row>
    <row r="56" spans="1:6">
      <c r="A56" s="211"/>
      <c r="B56" s="307" t="s">
        <v>67</v>
      </c>
      <c r="C56" s="280"/>
      <c r="D56" s="271"/>
      <c r="E56" s="21"/>
      <c r="F56" s="44"/>
    </row>
    <row r="57" spans="1:6">
      <c r="A57" s="211"/>
      <c r="B57" s="307" t="s">
        <v>68</v>
      </c>
      <c r="C57" s="280"/>
      <c r="D57" s="271"/>
      <c r="E57" s="21"/>
      <c r="F57" s="44"/>
    </row>
    <row r="58" spans="1:6">
      <c r="A58" s="211" t="s">
        <v>46</v>
      </c>
      <c r="B58" s="307" t="s">
        <v>69</v>
      </c>
      <c r="C58" s="280"/>
      <c r="D58" s="271"/>
      <c r="E58" s="21"/>
      <c r="F58" s="44"/>
    </row>
    <row r="59" spans="1:6">
      <c r="A59" s="211"/>
      <c r="B59" s="307" t="s">
        <v>70</v>
      </c>
      <c r="C59" s="280"/>
      <c r="D59" s="271"/>
      <c r="E59" s="21"/>
      <c r="F59" s="44"/>
    </row>
    <row r="60" spans="1:6">
      <c r="A60" s="188" t="s">
        <v>71</v>
      </c>
      <c r="B60" s="188"/>
      <c r="C60" s="188"/>
      <c r="D60" s="188"/>
      <c r="E60" s="188"/>
      <c r="F60" s="188"/>
    </row>
    <row r="61" spans="1:6">
      <c r="A61" s="211" t="s">
        <v>72</v>
      </c>
      <c r="B61" s="307" t="s">
        <v>54</v>
      </c>
      <c r="C61" s="280"/>
      <c r="D61" s="271"/>
      <c r="E61" s="42"/>
      <c r="F61" s="44"/>
    </row>
    <row r="62" spans="1:6">
      <c r="A62" s="211"/>
      <c r="B62" s="307" t="s">
        <v>55</v>
      </c>
      <c r="C62" s="280"/>
      <c r="D62" s="271"/>
      <c r="E62" s="42"/>
      <c r="F62" s="44"/>
    </row>
    <row r="63" spans="1:6">
      <c r="A63" s="211"/>
      <c r="B63" s="307" t="s">
        <v>64</v>
      </c>
      <c r="C63" s="280"/>
      <c r="D63" s="271"/>
      <c r="E63" s="42"/>
      <c r="F63" s="44"/>
    </row>
    <row r="64" spans="1:6">
      <c r="A64" s="211"/>
      <c r="B64" s="307" t="s">
        <v>66</v>
      </c>
      <c r="C64" s="280"/>
      <c r="D64" s="271"/>
      <c r="E64" s="42"/>
      <c r="F64" s="44"/>
    </row>
    <row r="65" spans="1:6">
      <c r="A65" s="316" t="s">
        <v>73</v>
      </c>
      <c r="B65" s="314" t="s">
        <v>74</v>
      </c>
      <c r="C65" s="208"/>
      <c r="D65" s="209"/>
      <c r="E65" s="42"/>
      <c r="F65" s="44"/>
    </row>
    <row r="66" spans="1:6">
      <c r="A66" s="317"/>
      <c r="B66" s="314" t="s">
        <v>75</v>
      </c>
      <c r="C66" s="208"/>
      <c r="D66" s="209"/>
      <c r="E66" s="42"/>
      <c r="F66" s="44"/>
    </row>
    <row r="67" spans="1:6">
      <c r="A67" s="318"/>
      <c r="B67" s="244" t="s">
        <v>76</v>
      </c>
      <c r="C67" s="245"/>
      <c r="D67" s="246"/>
      <c r="E67" s="46"/>
      <c r="F67" s="44"/>
    </row>
    <row r="68" spans="1:6">
      <c r="A68" s="241" t="s">
        <v>77</v>
      </c>
      <c r="B68" s="241"/>
      <c r="C68" s="241"/>
      <c r="D68" s="241"/>
      <c r="E68" s="241"/>
      <c r="F68" s="241"/>
    </row>
    <row r="69" spans="1:6">
      <c r="A69" s="211" t="s">
        <v>78</v>
      </c>
      <c r="B69" s="307" t="s">
        <v>83</v>
      </c>
      <c r="C69" s="280"/>
      <c r="D69" s="271"/>
      <c r="E69" s="21"/>
      <c r="F69" s="44"/>
    </row>
    <row r="70" spans="1:6">
      <c r="A70" s="211"/>
      <c r="B70" s="307" t="s">
        <v>15</v>
      </c>
      <c r="C70" s="280"/>
      <c r="D70" s="271"/>
      <c r="E70" s="21"/>
      <c r="F70" s="44"/>
    </row>
    <row r="71" spans="1:6">
      <c r="A71" s="211"/>
      <c r="B71" s="307" t="s">
        <v>84</v>
      </c>
      <c r="C71" s="280"/>
      <c r="D71" s="271"/>
      <c r="E71" s="21"/>
      <c r="F71" s="44"/>
    </row>
    <row r="72" spans="1:6">
      <c r="A72" s="211"/>
      <c r="B72" s="307" t="s">
        <v>85</v>
      </c>
      <c r="C72" s="280"/>
      <c r="D72" s="271"/>
      <c r="E72" s="21"/>
      <c r="F72" s="44"/>
    </row>
    <row r="73" spans="1:6">
      <c r="A73" s="211"/>
      <c r="B73" s="307" t="s">
        <v>86</v>
      </c>
      <c r="C73" s="280"/>
      <c r="D73" s="271"/>
      <c r="E73" s="21"/>
      <c r="F73" s="44"/>
    </row>
    <row r="74" spans="1:6">
      <c r="A74" s="211"/>
      <c r="B74" s="307" t="s">
        <v>87</v>
      </c>
      <c r="C74" s="280"/>
      <c r="D74" s="271"/>
      <c r="E74" s="21"/>
      <c r="F74" s="44"/>
    </row>
    <row r="75" spans="1:6">
      <c r="A75" s="211"/>
      <c r="B75" s="307" t="s">
        <v>88</v>
      </c>
      <c r="C75" s="280"/>
      <c r="D75" s="271"/>
      <c r="E75" s="21"/>
      <c r="F75" s="44"/>
    </row>
    <row r="76" spans="1:6">
      <c r="A76" s="211" t="s">
        <v>79</v>
      </c>
      <c r="B76" s="307" t="s">
        <v>89</v>
      </c>
      <c r="C76" s="280"/>
      <c r="D76" s="271"/>
      <c r="E76" s="21"/>
      <c r="F76" s="44"/>
    </row>
    <row r="77" spans="1:6">
      <c r="A77" s="211"/>
      <c r="B77" s="307" t="s">
        <v>90</v>
      </c>
      <c r="C77" s="280"/>
      <c r="D77" s="271"/>
      <c r="E77" s="21"/>
      <c r="F77" s="44"/>
    </row>
    <row r="78" spans="1:6">
      <c r="A78" s="211"/>
      <c r="B78" s="307" t="s">
        <v>91</v>
      </c>
      <c r="C78" s="280"/>
      <c r="D78" s="271"/>
      <c r="E78" s="21"/>
      <c r="F78" s="44"/>
    </row>
    <row r="79" spans="1:6">
      <c r="A79" s="211"/>
      <c r="B79" s="307" t="s">
        <v>92</v>
      </c>
      <c r="C79" s="280"/>
      <c r="D79" s="271"/>
      <c r="E79" s="21"/>
      <c r="F79" s="44"/>
    </row>
    <row r="80" spans="1:6">
      <c r="A80" s="211"/>
      <c r="B80" s="307" t="s">
        <v>93</v>
      </c>
      <c r="C80" s="280"/>
      <c r="D80" s="271"/>
      <c r="E80" s="21"/>
      <c r="F80" s="44"/>
    </row>
    <row r="81" spans="1:6">
      <c r="A81" s="211"/>
      <c r="B81" s="307" t="s">
        <v>94</v>
      </c>
      <c r="C81" s="280"/>
      <c r="D81" s="271"/>
      <c r="E81" s="21"/>
      <c r="F81" s="44"/>
    </row>
    <row r="82" spans="1:6">
      <c r="A82" s="211"/>
      <c r="B82" s="307" t="s">
        <v>95</v>
      </c>
      <c r="C82" s="280"/>
      <c r="D82" s="271"/>
      <c r="E82" s="21"/>
      <c r="F82" s="44"/>
    </row>
    <row r="83" spans="1:6">
      <c r="A83" s="211"/>
      <c r="B83" s="307" t="s">
        <v>96</v>
      </c>
      <c r="C83" s="280"/>
      <c r="D83" s="271"/>
      <c r="E83" s="21"/>
      <c r="F83" s="44"/>
    </row>
    <row r="84" spans="1:6">
      <c r="A84" s="211"/>
      <c r="B84" s="307" t="s">
        <v>97</v>
      </c>
      <c r="C84" s="280"/>
      <c r="D84" s="271"/>
      <c r="E84" s="21"/>
      <c r="F84" s="44"/>
    </row>
    <row r="85" spans="1:6">
      <c r="A85" s="211"/>
      <c r="B85" s="307" t="s">
        <v>98</v>
      </c>
      <c r="C85" s="280"/>
      <c r="D85" s="271"/>
      <c r="E85" s="21"/>
      <c r="F85" s="44"/>
    </row>
    <row r="86" spans="1:6">
      <c r="A86" s="211"/>
      <c r="B86" s="307" t="s">
        <v>99</v>
      </c>
      <c r="C86" s="280"/>
      <c r="D86" s="271"/>
      <c r="E86" s="21"/>
      <c r="F86" s="44"/>
    </row>
    <row r="87" spans="1:6">
      <c r="A87" s="211"/>
      <c r="B87" s="307" t="s">
        <v>100</v>
      </c>
      <c r="C87" s="280"/>
      <c r="D87" s="271"/>
      <c r="E87" s="21"/>
      <c r="F87" s="44"/>
    </row>
    <row r="88" spans="1:6">
      <c r="A88" s="31" t="s">
        <v>80</v>
      </c>
      <c r="B88" s="262" t="s">
        <v>101</v>
      </c>
      <c r="C88" s="319"/>
      <c r="D88" s="263"/>
      <c r="E88" s="21"/>
      <c r="F88" s="44"/>
    </row>
    <row r="89" spans="1:6">
      <c r="A89" s="211" t="s">
        <v>81</v>
      </c>
      <c r="B89" s="314" t="s">
        <v>102</v>
      </c>
      <c r="C89" s="208"/>
      <c r="D89" s="209"/>
      <c r="E89" s="21"/>
      <c r="F89" s="44"/>
    </row>
    <row r="90" spans="1:6">
      <c r="A90" s="211"/>
      <c r="B90" s="207" t="s">
        <v>113</v>
      </c>
      <c r="C90" s="294"/>
      <c r="D90" s="274"/>
      <c r="E90" s="21"/>
      <c r="F90" s="44"/>
    </row>
    <row r="91" spans="1:6">
      <c r="A91" s="233"/>
      <c r="B91" s="207" t="s">
        <v>110</v>
      </c>
      <c r="C91" s="294"/>
      <c r="D91" s="274"/>
      <c r="E91" s="44"/>
      <c r="F91" s="44"/>
    </row>
    <row r="92" spans="1:6">
      <c r="A92" s="211" t="s">
        <v>82</v>
      </c>
      <c r="B92" s="307" t="s">
        <v>103</v>
      </c>
      <c r="C92" s="280"/>
      <c r="D92" s="271"/>
      <c r="E92" s="21"/>
      <c r="F92" s="44"/>
    </row>
    <row r="93" spans="1:6">
      <c r="A93" s="211"/>
      <c r="B93" s="307" t="s">
        <v>104</v>
      </c>
      <c r="C93" s="280"/>
      <c r="D93" s="271"/>
      <c r="E93" s="21"/>
      <c r="F93" s="44"/>
    </row>
    <row r="94" spans="1:6">
      <c r="A94" s="211"/>
      <c r="B94" s="307" t="s">
        <v>105</v>
      </c>
      <c r="C94" s="280"/>
      <c r="D94" s="271"/>
      <c r="E94" s="21"/>
      <c r="F94" s="44"/>
    </row>
    <row r="95" spans="1:6" ht="32.25" customHeight="1">
      <c r="A95" s="211"/>
      <c r="B95" s="207" t="s">
        <v>115</v>
      </c>
      <c r="C95" s="208"/>
      <c r="D95" s="209"/>
      <c r="E95" s="21"/>
      <c r="F95" s="44"/>
    </row>
    <row r="96" spans="1:6">
      <c r="A96" s="211"/>
      <c r="B96" s="307" t="s">
        <v>106</v>
      </c>
      <c r="C96" s="280"/>
      <c r="D96" s="271"/>
      <c r="E96" s="21"/>
      <c r="F96" s="44"/>
    </row>
    <row r="97" spans="1:6">
      <c r="A97" s="211"/>
      <c r="B97" s="307" t="s">
        <v>107</v>
      </c>
      <c r="C97" s="280"/>
      <c r="D97" s="271"/>
      <c r="E97" s="21"/>
      <c r="F97" s="44"/>
    </row>
    <row r="99" spans="1:6">
      <c r="F99" s="27"/>
    </row>
    <row r="100" spans="1:6">
      <c r="A100" s="8"/>
      <c r="B100" s="33"/>
      <c r="C100" s="33"/>
      <c r="D100" s="4"/>
      <c r="E100" s="30"/>
    </row>
    <row r="101" spans="1:6">
      <c r="A101" s="340" t="s">
        <v>116</v>
      </c>
      <c r="B101" s="340"/>
      <c r="C101" s="340"/>
      <c r="D101" s="340"/>
      <c r="E101" s="340"/>
      <c r="F101" s="340"/>
    </row>
    <row r="102" spans="1:6">
      <c r="A102" s="19"/>
      <c r="B102" s="19"/>
      <c r="C102" s="19" t="s">
        <v>118</v>
      </c>
      <c r="D102" s="37" t="s">
        <v>119</v>
      </c>
      <c r="E102" s="6"/>
      <c r="F102" s="45"/>
    </row>
    <row r="103" spans="1:6">
      <c r="A103" s="1"/>
      <c r="B103" s="19"/>
      <c r="C103" s="19" t="s">
        <v>0</v>
      </c>
      <c r="D103" s="34">
        <f>'Bairabi S'!B3*100*194</f>
        <v>6634800</v>
      </c>
      <c r="E103" s="6"/>
      <c r="F103" s="11"/>
    </row>
    <row r="104" spans="1:6">
      <c r="A104" s="19"/>
      <c r="B104" s="19"/>
      <c r="C104" s="19" t="s">
        <v>2</v>
      </c>
      <c r="D104" s="35">
        <f>D103*1/9</f>
        <v>737200</v>
      </c>
      <c r="E104" s="6"/>
      <c r="F104" s="22"/>
    </row>
    <row r="105" spans="1:6">
      <c r="A105" s="7"/>
      <c r="B105" s="19"/>
      <c r="C105" s="19" t="s">
        <v>3</v>
      </c>
      <c r="D105" s="35">
        <f>SUM(D103:D104)</f>
        <v>7372000</v>
      </c>
      <c r="E105" s="6"/>
      <c r="F105" s="11"/>
    </row>
    <row r="106" spans="1:6">
      <c r="A106" s="7"/>
      <c r="B106" s="19"/>
      <c r="C106" s="19" t="s">
        <v>4</v>
      </c>
      <c r="D106" s="35">
        <f>D105*0.06</f>
        <v>442320</v>
      </c>
      <c r="E106" s="6"/>
      <c r="F106" s="11"/>
    </row>
    <row r="107" spans="1:6">
      <c r="A107" s="7"/>
      <c r="B107" s="19"/>
      <c r="C107" s="19" t="s">
        <v>5</v>
      </c>
      <c r="D107" s="36">
        <f>SUM(D105:D106)</f>
        <v>7814320</v>
      </c>
      <c r="E107" s="6"/>
      <c r="F107" s="11"/>
    </row>
    <row r="108" spans="1:6" ht="28.8">
      <c r="A108" s="41" t="s">
        <v>18</v>
      </c>
      <c r="B108" s="341" t="s">
        <v>6</v>
      </c>
      <c r="C108" s="342"/>
      <c r="D108" s="343"/>
      <c r="E108" s="40" t="s">
        <v>111</v>
      </c>
      <c r="F108" s="40" t="s">
        <v>112</v>
      </c>
    </row>
    <row r="109" spans="1:6">
      <c r="A109" s="189" t="s">
        <v>40</v>
      </c>
      <c r="B109" s="189"/>
      <c r="C109" s="189"/>
      <c r="D109" s="189"/>
      <c r="E109" s="189"/>
      <c r="F109" s="189"/>
    </row>
    <row r="110" spans="1:6">
      <c r="A110" s="281" t="s">
        <v>19</v>
      </c>
      <c r="B110" s="314" t="s">
        <v>20</v>
      </c>
      <c r="C110" s="208"/>
      <c r="D110" s="209"/>
      <c r="E110" s="42"/>
      <c r="F110" s="44"/>
    </row>
    <row r="111" spans="1:6">
      <c r="A111" s="281"/>
      <c r="B111" s="314" t="s">
        <v>21</v>
      </c>
      <c r="C111" s="208"/>
      <c r="D111" s="209"/>
      <c r="E111" s="42"/>
      <c r="F111" s="44"/>
    </row>
    <row r="112" spans="1:6">
      <c r="A112" s="281"/>
      <c r="B112" s="314" t="s">
        <v>22</v>
      </c>
      <c r="C112" s="208"/>
      <c r="D112" s="209"/>
      <c r="E112" s="42"/>
      <c r="F112" s="44"/>
    </row>
    <row r="113" spans="1:6">
      <c r="A113" s="281"/>
      <c r="B113" s="314" t="s">
        <v>23</v>
      </c>
      <c r="C113" s="208"/>
      <c r="D113" s="209"/>
      <c r="E113" s="42"/>
      <c r="F113" s="44"/>
    </row>
    <row r="114" spans="1:6">
      <c r="A114" s="281"/>
      <c r="B114" s="314" t="s">
        <v>12</v>
      </c>
      <c r="C114" s="208"/>
      <c r="D114" s="209"/>
      <c r="E114" s="42"/>
      <c r="F114" s="44"/>
    </row>
    <row r="115" spans="1:6">
      <c r="A115" s="281"/>
      <c r="B115" s="314" t="s">
        <v>24</v>
      </c>
      <c r="C115" s="208"/>
      <c r="D115" s="209"/>
      <c r="E115" s="42">
        <v>3</v>
      </c>
      <c r="F115" s="44">
        <f>E115*900</f>
        <v>2700</v>
      </c>
    </row>
    <row r="116" spans="1:6">
      <c r="A116" s="281" t="s">
        <v>25</v>
      </c>
      <c r="B116" s="272" t="s">
        <v>17</v>
      </c>
      <c r="C116" s="297"/>
      <c r="D116" s="273"/>
      <c r="E116" s="21">
        <v>2</v>
      </c>
      <c r="F116" s="44">
        <f>E116*900</f>
        <v>1800</v>
      </c>
    </row>
    <row r="117" spans="1:6">
      <c r="A117" s="281"/>
      <c r="B117" s="307" t="s">
        <v>16</v>
      </c>
      <c r="C117" s="280"/>
      <c r="D117" s="271"/>
      <c r="E117" s="21"/>
      <c r="F117" s="44"/>
    </row>
    <row r="118" spans="1:6">
      <c r="A118" s="281"/>
      <c r="B118" s="307" t="s">
        <v>28</v>
      </c>
      <c r="C118" s="280"/>
      <c r="D118" s="271"/>
      <c r="E118" s="21"/>
      <c r="F118" s="44"/>
    </row>
    <row r="119" spans="1:6">
      <c r="A119" s="281"/>
      <c r="B119" s="247" t="s">
        <v>11</v>
      </c>
      <c r="C119" s="248"/>
      <c r="D119" s="249"/>
      <c r="E119" s="21">
        <v>4</v>
      </c>
      <c r="F119" s="44">
        <f>E119*900+900</f>
        <v>4500</v>
      </c>
    </row>
    <row r="120" spans="1:6">
      <c r="A120" s="281"/>
      <c r="B120" s="247" t="s">
        <v>29</v>
      </c>
      <c r="C120" s="248"/>
      <c r="D120" s="249"/>
      <c r="E120" s="21"/>
      <c r="F120" s="44"/>
    </row>
    <row r="121" spans="1:6">
      <c r="A121" s="336" t="s">
        <v>26</v>
      </c>
      <c r="B121" s="337" t="s">
        <v>108</v>
      </c>
      <c r="C121" s="338"/>
      <c r="D121" s="339"/>
      <c r="E121" s="21">
        <v>1</v>
      </c>
      <c r="F121" s="44">
        <v>900</v>
      </c>
    </row>
    <row r="122" spans="1:6">
      <c r="A122" s="336"/>
      <c r="B122" s="247" t="s">
        <v>30</v>
      </c>
      <c r="C122" s="248"/>
      <c r="D122" s="249"/>
      <c r="E122" s="21"/>
      <c r="F122" s="44"/>
    </row>
    <row r="123" spans="1:6">
      <c r="A123" s="281" t="s">
        <v>27</v>
      </c>
      <c r="B123" s="307" t="s">
        <v>31</v>
      </c>
      <c r="C123" s="280"/>
      <c r="D123" s="271"/>
      <c r="E123" s="21">
        <v>1</v>
      </c>
      <c r="F123" s="44">
        <v>270</v>
      </c>
    </row>
    <row r="124" spans="1:6">
      <c r="A124" s="281"/>
      <c r="B124" s="307" t="s">
        <v>32</v>
      </c>
      <c r="C124" s="280"/>
      <c r="D124" s="271"/>
      <c r="E124" s="21"/>
      <c r="F124" s="44"/>
    </row>
    <row r="125" spans="1:6">
      <c r="A125" s="281" t="s">
        <v>13</v>
      </c>
      <c r="B125" s="307" t="s">
        <v>9</v>
      </c>
      <c r="C125" s="280"/>
      <c r="D125" s="271"/>
      <c r="E125" s="21"/>
      <c r="F125" s="44"/>
    </row>
    <row r="126" spans="1:6">
      <c r="A126" s="281"/>
      <c r="B126" s="307" t="s">
        <v>33</v>
      </c>
      <c r="C126" s="280"/>
      <c r="D126" s="271"/>
      <c r="E126" s="21"/>
      <c r="F126" s="44"/>
    </row>
    <row r="127" spans="1:6">
      <c r="A127" s="281"/>
      <c r="B127" s="307" t="s">
        <v>34</v>
      </c>
      <c r="C127" s="280"/>
      <c r="D127" s="271"/>
      <c r="E127" s="21">
        <v>1</v>
      </c>
      <c r="F127" s="44">
        <v>500</v>
      </c>
    </row>
    <row r="128" spans="1:6">
      <c r="A128" s="281"/>
      <c r="B128" s="307" t="s">
        <v>35</v>
      </c>
      <c r="C128" s="280"/>
      <c r="D128" s="271"/>
      <c r="E128" s="21">
        <v>1</v>
      </c>
      <c r="F128" s="44">
        <v>500</v>
      </c>
    </row>
    <row r="129" spans="1:6">
      <c r="A129" s="43" t="s">
        <v>8</v>
      </c>
      <c r="B129" s="244" t="s">
        <v>38</v>
      </c>
      <c r="C129" s="245"/>
      <c r="D129" s="246"/>
      <c r="E129" s="21"/>
      <c r="F129" s="44"/>
    </row>
    <row r="130" spans="1:6">
      <c r="A130" s="188" t="s">
        <v>39</v>
      </c>
      <c r="B130" s="188"/>
      <c r="C130" s="188"/>
      <c r="D130" s="188"/>
      <c r="E130" s="188"/>
      <c r="F130" s="188"/>
    </row>
    <row r="131" spans="1:6">
      <c r="A131" s="211" t="s">
        <v>41</v>
      </c>
      <c r="B131" s="307" t="s">
        <v>47</v>
      </c>
      <c r="C131" s="280"/>
      <c r="D131" s="271"/>
      <c r="E131" s="21"/>
      <c r="F131" s="44"/>
    </row>
    <row r="132" spans="1:6">
      <c r="A132" s="211"/>
      <c r="B132" s="307" t="s">
        <v>48</v>
      </c>
      <c r="C132" s="280"/>
      <c r="D132" s="271"/>
      <c r="E132" s="21"/>
      <c r="F132" s="44"/>
    </row>
    <row r="133" spans="1:6">
      <c r="A133" s="211"/>
      <c r="B133" s="307" t="s">
        <v>49</v>
      </c>
      <c r="C133" s="280"/>
      <c r="D133" s="271"/>
      <c r="E133" s="21"/>
      <c r="F133" s="44"/>
    </row>
    <row r="134" spans="1:6">
      <c r="A134" s="211"/>
      <c r="B134" s="307" t="s">
        <v>50</v>
      </c>
      <c r="C134" s="280"/>
      <c r="D134" s="271"/>
      <c r="E134" s="21"/>
      <c r="F134" s="44"/>
    </row>
    <row r="135" spans="1:6">
      <c r="A135" s="211"/>
      <c r="B135" s="307" t="s">
        <v>51</v>
      </c>
      <c r="C135" s="280"/>
      <c r="D135" s="271"/>
      <c r="E135" s="21"/>
      <c r="F135" s="44"/>
    </row>
    <row r="136" spans="1:6">
      <c r="A136" s="211"/>
      <c r="B136" s="270" t="s">
        <v>120</v>
      </c>
      <c r="C136" s="279"/>
      <c r="D136" s="278"/>
      <c r="E136" s="21">
        <v>1</v>
      </c>
      <c r="F136" s="44">
        <v>180</v>
      </c>
    </row>
    <row r="137" spans="1:6">
      <c r="A137" s="211"/>
      <c r="B137" s="307" t="s">
        <v>12</v>
      </c>
      <c r="C137" s="280"/>
      <c r="D137" s="271"/>
      <c r="E137" s="21"/>
      <c r="F137" s="44"/>
    </row>
    <row r="138" spans="1:6">
      <c r="A138" s="211"/>
      <c r="B138" s="247" t="s">
        <v>8</v>
      </c>
      <c r="C138" s="248"/>
      <c r="D138" s="249"/>
      <c r="E138" s="21">
        <v>10</v>
      </c>
      <c r="F138" s="44">
        <f>E138*900</f>
        <v>9000</v>
      </c>
    </row>
    <row r="139" spans="1:6">
      <c r="A139" s="211" t="s">
        <v>42</v>
      </c>
      <c r="B139" s="307" t="s">
        <v>53</v>
      </c>
      <c r="C139" s="280"/>
      <c r="D139" s="271"/>
      <c r="E139" s="21">
        <v>2</v>
      </c>
      <c r="F139" s="44">
        <f>180*E139</f>
        <v>360</v>
      </c>
    </row>
    <row r="140" spans="1:6">
      <c r="A140" s="211"/>
      <c r="B140" s="307" t="s">
        <v>54</v>
      </c>
      <c r="C140" s="280"/>
      <c r="D140" s="271"/>
      <c r="E140" s="21"/>
      <c r="F140" s="44"/>
    </row>
    <row r="141" spans="1:6">
      <c r="A141" s="211"/>
      <c r="B141" s="307" t="s">
        <v>55</v>
      </c>
      <c r="C141" s="280"/>
      <c r="D141" s="271"/>
      <c r="E141" s="21">
        <v>2</v>
      </c>
      <c r="F141" s="44">
        <f>E141*54</f>
        <v>108</v>
      </c>
    </row>
    <row r="142" spans="1:6">
      <c r="A142" s="211"/>
      <c r="B142" s="307" t="s">
        <v>34</v>
      </c>
      <c r="C142" s="280"/>
      <c r="D142" s="271"/>
      <c r="E142" s="21"/>
      <c r="F142" s="44"/>
    </row>
    <row r="143" spans="1:6">
      <c r="A143" s="211"/>
      <c r="B143" s="307" t="s">
        <v>56</v>
      </c>
      <c r="C143" s="280"/>
      <c r="D143" s="271"/>
      <c r="E143" s="21">
        <v>1</v>
      </c>
      <c r="F143" s="44">
        <v>60</v>
      </c>
    </row>
    <row r="144" spans="1:6">
      <c r="A144" s="211"/>
      <c r="B144" s="307" t="s">
        <v>57</v>
      </c>
      <c r="C144" s="280"/>
      <c r="D144" s="271"/>
      <c r="E144" s="21"/>
      <c r="F144" s="44"/>
    </row>
    <row r="145" spans="1:6">
      <c r="A145" s="211"/>
      <c r="B145" s="307" t="s">
        <v>58</v>
      </c>
      <c r="C145" s="280"/>
      <c r="D145" s="271"/>
      <c r="E145" s="21"/>
      <c r="F145" s="44"/>
    </row>
    <row r="146" spans="1:6">
      <c r="A146" s="211" t="s">
        <v>43</v>
      </c>
      <c r="B146" s="307" t="s">
        <v>36</v>
      </c>
      <c r="C146" s="280"/>
      <c r="D146" s="271"/>
      <c r="E146" s="21"/>
      <c r="F146" s="44"/>
    </row>
    <row r="147" spans="1:6">
      <c r="A147" s="211"/>
      <c r="B147" s="307" t="s">
        <v>59</v>
      </c>
      <c r="C147" s="280"/>
      <c r="D147" s="271"/>
      <c r="E147" s="21"/>
      <c r="F147" s="44"/>
    </row>
    <row r="148" spans="1:6">
      <c r="A148" s="211"/>
      <c r="B148" s="307" t="s">
        <v>37</v>
      </c>
      <c r="C148" s="280"/>
      <c r="D148" s="271"/>
      <c r="E148" s="21"/>
      <c r="F148" s="44"/>
    </row>
    <row r="149" spans="1:6">
      <c r="A149" s="211"/>
      <c r="B149" s="307" t="s">
        <v>60</v>
      </c>
      <c r="C149" s="280"/>
      <c r="D149" s="271"/>
      <c r="E149" s="21"/>
      <c r="F149" s="44"/>
    </row>
    <row r="150" spans="1:6">
      <c r="A150" s="211"/>
      <c r="B150" s="307" t="s">
        <v>61</v>
      </c>
      <c r="C150" s="280"/>
      <c r="D150" s="271"/>
      <c r="E150" s="21"/>
      <c r="F150" s="44"/>
    </row>
    <row r="151" spans="1:6" ht="28.8">
      <c r="A151" s="25" t="s">
        <v>44</v>
      </c>
      <c r="B151" s="314" t="s">
        <v>62</v>
      </c>
      <c r="C151" s="208"/>
      <c r="D151" s="209"/>
      <c r="E151" s="21"/>
      <c r="F151" s="44"/>
    </row>
    <row r="152" spans="1:6">
      <c r="A152" s="211" t="s">
        <v>45</v>
      </c>
      <c r="B152" s="307" t="s">
        <v>63</v>
      </c>
      <c r="C152" s="280"/>
      <c r="D152" s="271"/>
      <c r="E152" s="21"/>
      <c r="F152" s="44"/>
    </row>
    <row r="153" spans="1:6">
      <c r="A153" s="211"/>
      <c r="B153" s="307" t="s">
        <v>64</v>
      </c>
      <c r="C153" s="280"/>
      <c r="D153" s="271"/>
      <c r="E153" s="21"/>
      <c r="F153" s="44"/>
    </row>
    <row r="154" spans="1:6">
      <c r="A154" s="211"/>
      <c r="B154" s="307" t="s">
        <v>65</v>
      </c>
      <c r="C154" s="280"/>
      <c r="D154" s="271"/>
      <c r="E154" s="21"/>
      <c r="F154" s="44"/>
    </row>
    <row r="155" spans="1:6">
      <c r="A155" s="211"/>
      <c r="B155" s="307" t="s">
        <v>66</v>
      </c>
      <c r="C155" s="280"/>
      <c r="D155" s="271"/>
      <c r="E155" s="21"/>
      <c r="F155" s="44"/>
    </row>
    <row r="156" spans="1:6">
      <c r="A156" s="211"/>
      <c r="B156" s="307" t="s">
        <v>67</v>
      </c>
      <c r="C156" s="280"/>
      <c r="D156" s="271"/>
      <c r="E156" s="21">
        <v>12</v>
      </c>
      <c r="F156" s="44">
        <f>E156*180</f>
        <v>2160</v>
      </c>
    </row>
    <row r="157" spans="1:6">
      <c r="A157" s="211"/>
      <c r="B157" s="307" t="s">
        <v>68</v>
      </c>
      <c r="C157" s="280"/>
      <c r="D157" s="271"/>
      <c r="E157" s="21"/>
      <c r="F157" s="44"/>
    </row>
    <row r="158" spans="1:6">
      <c r="A158" s="211" t="s">
        <v>46</v>
      </c>
      <c r="B158" s="307" t="s">
        <v>69</v>
      </c>
      <c r="C158" s="280"/>
      <c r="D158" s="271"/>
      <c r="E158" s="21">
        <v>2</v>
      </c>
      <c r="F158" s="44">
        <v>900</v>
      </c>
    </row>
    <row r="159" spans="1:6">
      <c r="A159" s="211"/>
      <c r="B159" s="307" t="s">
        <v>70</v>
      </c>
      <c r="C159" s="280"/>
      <c r="D159" s="271"/>
      <c r="E159" s="21"/>
      <c r="F159" s="44"/>
    </row>
    <row r="160" spans="1:6">
      <c r="A160" s="188" t="s">
        <v>71</v>
      </c>
      <c r="B160" s="188"/>
      <c r="C160" s="188"/>
      <c r="D160" s="188"/>
      <c r="E160" s="188"/>
      <c r="F160" s="188"/>
    </row>
    <row r="161" spans="1:6">
      <c r="A161" s="211" t="s">
        <v>72</v>
      </c>
      <c r="B161" s="307" t="s">
        <v>54</v>
      </c>
      <c r="C161" s="280"/>
      <c r="D161" s="271"/>
      <c r="E161" s="42"/>
      <c r="F161" s="44"/>
    </row>
    <row r="162" spans="1:6">
      <c r="A162" s="211"/>
      <c r="B162" s="307" t="s">
        <v>55</v>
      </c>
      <c r="C162" s="280"/>
      <c r="D162" s="271"/>
      <c r="E162" s="42"/>
      <c r="F162" s="44"/>
    </row>
    <row r="163" spans="1:6">
      <c r="A163" s="211"/>
      <c r="B163" s="307" t="s">
        <v>64</v>
      </c>
      <c r="C163" s="280"/>
      <c r="D163" s="271"/>
      <c r="E163" s="42"/>
      <c r="F163" s="44"/>
    </row>
    <row r="164" spans="1:6">
      <c r="A164" s="211"/>
      <c r="B164" s="307" t="s">
        <v>66</v>
      </c>
      <c r="C164" s="280"/>
      <c r="D164" s="271"/>
      <c r="E164" s="42"/>
      <c r="F164" s="44"/>
    </row>
    <row r="165" spans="1:6">
      <c r="A165" s="316" t="s">
        <v>73</v>
      </c>
      <c r="B165" s="314" t="s">
        <v>74</v>
      </c>
      <c r="C165" s="208"/>
      <c r="D165" s="209"/>
      <c r="E165" s="42"/>
      <c r="F165" s="44"/>
    </row>
    <row r="166" spans="1:6">
      <c r="A166" s="317"/>
      <c r="B166" s="314" t="s">
        <v>75</v>
      </c>
      <c r="C166" s="208"/>
      <c r="D166" s="209"/>
      <c r="E166" s="42"/>
      <c r="F166" s="44"/>
    </row>
    <row r="167" spans="1:6">
      <c r="A167" s="318"/>
      <c r="B167" s="244" t="s">
        <v>76</v>
      </c>
      <c r="C167" s="245"/>
      <c r="D167" s="246"/>
      <c r="E167" s="46"/>
      <c r="F167" s="44"/>
    </row>
    <row r="168" spans="1:6">
      <c r="A168" s="241" t="s">
        <v>77</v>
      </c>
      <c r="B168" s="241"/>
      <c r="C168" s="241"/>
      <c r="D168" s="241"/>
      <c r="E168" s="241"/>
      <c r="F168" s="241"/>
    </row>
    <row r="169" spans="1:6">
      <c r="A169" s="211" t="s">
        <v>78</v>
      </c>
      <c r="B169" s="307" t="s">
        <v>83</v>
      </c>
      <c r="C169" s="280"/>
      <c r="D169" s="271"/>
      <c r="E169" s="21"/>
      <c r="F169" s="44"/>
    </row>
    <row r="170" spans="1:6">
      <c r="A170" s="211"/>
      <c r="B170" s="307" t="s">
        <v>15</v>
      </c>
      <c r="C170" s="280"/>
      <c r="D170" s="271"/>
      <c r="E170" s="21"/>
      <c r="F170" s="44"/>
    </row>
    <row r="171" spans="1:6">
      <c r="A171" s="211"/>
      <c r="B171" s="307" t="s">
        <v>84</v>
      </c>
      <c r="C171" s="280"/>
      <c r="D171" s="271"/>
      <c r="E171" s="21"/>
      <c r="F171" s="44"/>
    </row>
    <row r="172" spans="1:6">
      <c r="A172" s="211"/>
      <c r="B172" s="307" t="s">
        <v>85</v>
      </c>
      <c r="C172" s="280"/>
      <c r="D172" s="271"/>
      <c r="E172" s="21">
        <v>20</v>
      </c>
      <c r="F172" s="44">
        <v>1113</v>
      </c>
    </row>
    <row r="173" spans="1:6">
      <c r="A173" s="211"/>
      <c r="B173" s="307" t="s">
        <v>86</v>
      </c>
      <c r="C173" s="280"/>
      <c r="D173" s="271"/>
      <c r="E173" s="21"/>
      <c r="F173" s="44"/>
    </row>
    <row r="174" spans="1:6">
      <c r="A174" s="211"/>
      <c r="B174" s="307" t="s">
        <v>87</v>
      </c>
      <c r="C174" s="280"/>
      <c r="D174" s="271"/>
      <c r="E174" s="21"/>
      <c r="F174" s="44"/>
    </row>
    <row r="175" spans="1:6">
      <c r="A175" s="211"/>
      <c r="B175" s="307" t="s">
        <v>88</v>
      </c>
      <c r="C175" s="280"/>
      <c r="D175" s="271"/>
      <c r="E175" s="21"/>
      <c r="F175" s="44"/>
    </row>
    <row r="176" spans="1:6">
      <c r="A176" s="211" t="s">
        <v>79</v>
      </c>
      <c r="B176" s="307" t="s">
        <v>89</v>
      </c>
      <c r="C176" s="280"/>
      <c r="D176" s="271"/>
      <c r="E176" s="21">
        <v>3</v>
      </c>
      <c r="F176" s="44">
        <f>E176*270</f>
        <v>810</v>
      </c>
    </row>
    <row r="177" spans="1:6">
      <c r="A177" s="211"/>
      <c r="B177" s="307" t="s">
        <v>90</v>
      </c>
      <c r="C177" s="280"/>
      <c r="D177" s="271"/>
      <c r="E177" s="21"/>
      <c r="F177" s="44"/>
    </row>
    <row r="178" spans="1:6">
      <c r="A178" s="211"/>
      <c r="B178" s="307" t="s">
        <v>91</v>
      </c>
      <c r="C178" s="280"/>
      <c r="D178" s="271"/>
      <c r="E178" s="21">
        <v>3</v>
      </c>
      <c r="F178" s="44">
        <f>E178*270</f>
        <v>810</v>
      </c>
    </row>
    <row r="179" spans="1:6">
      <c r="A179" s="211"/>
      <c r="B179" s="307" t="s">
        <v>92</v>
      </c>
      <c r="C179" s="280"/>
      <c r="D179" s="271"/>
      <c r="E179" s="21">
        <v>2</v>
      </c>
      <c r="F179" s="44">
        <f>E179*900</f>
        <v>1800</v>
      </c>
    </row>
    <row r="180" spans="1:6">
      <c r="A180" s="211"/>
      <c r="B180" s="307" t="s">
        <v>93</v>
      </c>
      <c r="C180" s="280"/>
      <c r="D180" s="271"/>
      <c r="E180" s="21"/>
      <c r="F180" s="44"/>
    </row>
    <row r="181" spans="1:6">
      <c r="A181" s="211"/>
      <c r="B181" s="307" t="s">
        <v>94</v>
      </c>
      <c r="C181" s="280"/>
      <c r="D181" s="271"/>
      <c r="E181" s="21"/>
      <c r="F181" s="44"/>
    </row>
    <row r="182" spans="1:6">
      <c r="A182" s="211"/>
      <c r="B182" s="307" t="s">
        <v>95</v>
      </c>
      <c r="C182" s="280"/>
      <c r="D182" s="271"/>
      <c r="E182" s="21"/>
      <c r="F182" s="44"/>
    </row>
    <row r="183" spans="1:6">
      <c r="A183" s="211"/>
      <c r="B183" s="307" t="s">
        <v>96</v>
      </c>
      <c r="C183" s="280"/>
      <c r="D183" s="271"/>
      <c r="E183" s="21"/>
      <c r="F183" s="44"/>
    </row>
    <row r="184" spans="1:6">
      <c r="A184" s="211"/>
      <c r="B184" s="307" t="s">
        <v>97</v>
      </c>
      <c r="C184" s="280"/>
      <c r="D184" s="271"/>
      <c r="E184" s="21"/>
      <c r="F184" s="44"/>
    </row>
    <row r="185" spans="1:6">
      <c r="A185" s="211"/>
      <c r="B185" s="307" t="s">
        <v>98</v>
      </c>
      <c r="C185" s="280"/>
      <c r="D185" s="271"/>
      <c r="E185" s="21"/>
      <c r="F185" s="44"/>
    </row>
    <row r="186" spans="1:6">
      <c r="A186" s="211"/>
      <c r="B186" s="307" t="s">
        <v>99</v>
      </c>
      <c r="C186" s="280"/>
      <c r="D186" s="271"/>
      <c r="E186" s="21"/>
      <c r="F186" s="44"/>
    </row>
    <row r="187" spans="1:6">
      <c r="A187" s="211"/>
      <c r="B187" s="307" t="s">
        <v>100</v>
      </c>
      <c r="C187" s="280"/>
      <c r="D187" s="271"/>
      <c r="E187" s="21">
        <v>1</v>
      </c>
      <c r="F187" s="44">
        <v>270</v>
      </c>
    </row>
    <row r="188" spans="1:6">
      <c r="A188" s="39" t="s">
        <v>80</v>
      </c>
      <c r="B188" s="262" t="s">
        <v>101</v>
      </c>
      <c r="C188" s="319"/>
      <c r="D188" s="263"/>
      <c r="E188" s="21">
        <v>2</v>
      </c>
      <c r="F188" s="44">
        <v>1800</v>
      </c>
    </row>
    <row r="189" spans="1:6">
      <c r="A189" s="211" t="s">
        <v>81</v>
      </c>
      <c r="B189" s="314" t="s">
        <v>102</v>
      </c>
      <c r="C189" s="208"/>
      <c r="D189" s="209"/>
      <c r="E189" s="21">
        <v>2</v>
      </c>
      <c r="F189" s="44">
        <v>180</v>
      </c>
    </row>
    <row r="190" spans="1:6">
      <c r="A190" s="211"/>
      <c r="B190" s="207" t="s">
        <v>113</v>
      </c>
      <c r="C190" s="294"/>
      <c r="D190" s="274"/>
      <c r="E190" s="21"/>
      <c r="F190" s="44"/>
    </row>
    <row r="191" spans="1:6">
      <c r="A191" s="233"/>
      <c r="B191" s="207" t="s">
        <v>110</v>
      </c>
      <c r="C191" s="294"/>
      <c r="D191" s="274"/>
      <c r="E191" s="44">
        <v>1</v>
      </c>
      <c r="F191" s="44">
        <v>3079</v>
      </c>
    </row>
    <row r="192" spans="1:6">
      <c r="A192" s="211" t="s">
        <v>82</v>
      </c>
      <c r="B192" s="307" t="s">
        <v>103</v>
      </c>
      <c r="C192" s="280"/>
      <c r="D192" s="271"/>
      <c r="E192" s="21">
        <v>1</v>
      </c>
      <c r="F192" s="44">
        <v>2300</v>
      </c>
    </row>
    <row r="193" spans="1:6">
      <c r="A193" s="211"/>
      <c r="B193" s="307" t="s">
        <v>104</v>
      </c>
      <c r="C193" s="280"/>
      <c r="D193" s="271"/>
      <c r="E193" s="21"/>
      <c r="F193" s="44"/>
    </row>
    <row r="194" spans="1:6">
      <c r="A194" s="211"/>
      <c r="B194" s="307" t="s">
        <v>105</v>
      </c>
      <c r="C194" s="280"/>
      <c r="D194" s="271"/>
      <c r="E194" s="21"/>
      <c r="F194" s="44"/>
    </row>
    <row r="195" spans="1:6">
      <c r="A195" s="211"/>
      <c r="B195" s="207" t="s">
        <v>115</v>
      </c>
      <c r="C195" s="208"/>
      <c r="D195" s="209"/>
      <c r="E195" s="21"/>
      <c r="F195" s="44"/>
    </row>
    <row r="196" spans="1:6">
      <c r="A196" s="211"/>
      <c r="B196" s="307" t="s">
        <v>106</v>
      </c>
      <c r="C196" s="280"/>
      <c r="D196" s="271"/>
      <c r="E196" s="21"/>
      <c r="F196" s="44"/>
    </row>
    <row r="197" spans="1:6">
      <c r="A197" s="211"/>
      <c r="B197" s="307" t="s">
        <v>107</v>
      </c>
      <c r="C197" s="280"/>
      <c r="D197" s="271"/>
      <c r="E197" s="21"/>
      <c r="F197" s="44"/>
    </row>
    <row r="198" spans="1:6">
      <c r="F198" s="10">
        <f>SUM(F110:F197)</f>
        <v>36100</v>
      </c>
    </row>
    <row r="201" spans="1:6">
      <c r="A201" s="340" t="s">
        <v>116</v>
      </c>
      <c r="B201" s="340"/>
      <c r="C201" s="340"/>
      <c r="D201" s="340"/>
      <c r="E201" s="340"/>
      <c r="F201" s="340"/>
    </row>
    <row r="202" spans="1:6">
      <c r="A202" s="19"/>
      <c r="B202" s="19"/>
      <c r="C202" s="19" t="s">
        <v>118</v>
      </c>
      <c r="D202" s="37" t="s">
        <v>121</v>
      </c>
      <c r="E202" s="6"/>
      <c r="F202" s="45"/>
    </row>
    <row r="203" spans="1:6">
      <c r="A203" s="1"/>
      <c r="B203" s="19"/>
      <c r="C203" s="19" t="s">
        <v>0</v>
      </c>
      <c r="D203" s="34">
        <f>Meidum!B3*194*100</f>
        <v>3802400</v>
      </c>
      <c r="E203" s="6"/>
      <c r="F203" s="11"/>
    </row>
    <row r="204" spans="1:6">
      <c r="A204" s="19"/>
      <c r="B204" s="19"/>
      <c r="C204" s="19" t="s">
        <v>2</v>
      </c>
      <c r="D204" s="35">
        <f>D203*1/9</f>
        <v>422488.88888888888</v>
      </c>
      <c r="E204" s="6"/>
      <c r="F204" s="22"/>
    </row>
    <row r="205" spans="1:6">
      <c r="A205" s="7"/>
      <c r="B205" s="19"/>
      <c r="C205" s="19" t="s">
        <v>3</v>
      </c>
      <c r="D205" s="35">
        <f>SUM(D203:D204)</f>
        <v>4224888.888888889</v>
      </c>
      <c r="E205" s="6"/>
      <c r="F205" s="11"/>
    </row>
    <row r="206" spans="1:6">
      <c r="A206" s="7"/>
      <c r="B206" s="19"/>
      <c r="C206" s="19" t="s">
        <v>4</v>
      </c>
      <c r="D206" s="35">
        <f>D205*0.06</f>
        <v>253493.33333333334</v>
      </c>
      <c r="E206" s="6"/>
      <c r="F206" s="11"/>
    </row>
    <row r="207" spans="1:6">
      <c r="A207" s="7"/>
      <c r="B207" s="19"/>
      <c r="C207" s="19" t="s">
        <v>5</v>
      </c>
      <c r="D207" s="36">
        <f>SUM(D205:D206)</f>
        <v>4478382.222222222</v>
      </c>
      <c r="E207" s="6"/>
      <c r="F207" s="11"/>
    </row>
    <row r="208" spans="1:6" ht="28.8">
      <c r="A208" s="41" t="s">
        <v>18</v>
      </c>
      <c r="B208" s="341" t="s">
        <v>6</v>
      </c>
      <c r="C208" s="342"/>
      <c r="D208" s="343"/>
      <c r="E208" s="40" t="s">
        <v>111</v>
      </c>
      <c r="F208" s="40" t="s">
        <v>112</v>
      </c>
    </row>
    <row r="209" spans="1:6">
      <c r="A209" s="189" t="s">
        <v>40</v>
      </c>
      <c r="B209" s="189"/>
      <c r="C209" s="189"/>
      <c r="D209" s="189"/>
      <c r="E209" s="189"/>
      <c r="F209" s="189"/>
    </row>
    <row r="210" spans="1:6">
      <c r="A210" s="281" t="s">
        <v>19</v>
      </c>
      <c r="B210" s="314" t="s">
        <v>20</v>
      </c>
      <c r="C210" s="208"/>
      <c r="D210" s="209"/>
      <c r="E210" s="42"/>
      <c r="F210" s="44"/>
    </row>
    <row r="211" spans="1:6">
      <c r="A211" s="281"/>
      <c r="B211" s="314" t="s">
        <v>21</v>
      </c>
      <c r="C211" s="208"/>
      <c r="D211" s="209"/>
      <c r="E211" s="42"/>
      <c r="F211" s="44"/>
    </row>
    <row r="212" spans="1:6">
      <c r="A212" s="281"/>
      <c r="B212" s="314" t="s">
        <v>22</v>
      </c>
      <c r="C212" s="208"/>
      <c r="D212" s="209"/>
      <c r="E212" s="42"/>
      <c r="F212" s="44"/>
    </row>
    <row r="213" spans="1:6">
      <c r="A213" s="281"/>
      <c r="B213" s="314" t="s">
        <v>23</v>
      </c>
      <c r="C213" s="208"/>
      <c r="D213" s="209"/>
      <c r="E213" s="42"/>
      <c r="F213" s="44"/>
    </row>
    <row r="214" spans="1:6">
      <c r="A214" s="281"/>
      <c r="B214" s="314" t="s">
        <v>12</v>
      </c>
      <c r="C214" s="208"/>
      <c r="D214" s="209"/>
      <c r="E214" s="42"/>
      <c r="F214" s="44"/>
    </row>
    <row r="215" spans="1:6">
      <c r="A215" s="281"/>
      <c r="B215" s="314" t="s">
        <v>24</v>
      </c>
      <c r="C215" s="208"/>
      <c r="D215" s="209"/>
      <c r="E215" s="42"/>
      <c r="F215" s="44"/>
    </row>
    <row r="216" spans="1:6">
      <c r="A216" s="281" t="s">
        <v>25</v>
      </c>
      <c r="B216" s="272" t="s">
        <v>17</v>
      </c>
      <c r="C216" s="297"/>
      <c r="D216" s="273"/>
      <c r="E216" s="21"/>
      <c r="F216" s="44"/>
    </row>
    <row r="217" spans="1:6">
      <c r="A217" s="281"/>
      <c r="B217" s="307" t="s">
        <v>16</v>
      </c>
      <c r="C217" s="280"/>
      <c r="D217" s="271"/>
      <c r="E217" s="21"/>
      <c r="F217" s="44"/>
    </row>
    <row r="218" spans="1:6">
      <c r="A218" s="281"/>
      <c r="B218" s="307" t="s">
        <v>28</v>
      </c>
      <c r="C218" s="280"/>
      <c r="D218" s="271"/>
      <c r="E218" s="21"/>
      <c r="F218" s="44"/>
    </row>
    <row r="219" spans="1:6">
      <c r="A219" s="281"/>
      <c r="B219" s="247" t="s">
        <v>11</v>
      </c>
      <c r="C219" s="248"/>
      <c r="D219" s="249"/>
      <c r="E219" s="21"/>
      <c r="F219" s="44"/>
    </row>
    <row r="220" spans="1:6">
      <c r="A220" s="281"/>
      <c r="B220" s="247" t="s">
        <v>29</v>
      </c>
      <c r="C220" s="248"/>
      <c r="D220" s="249"/>
      <c r="E220" s="21"/>
      <c r="F220" s="44"/>
    </row>
    <row r="221" spans="1:6">
      <c r="A221" s="336" t="s">
        <v>26</v>
      </c>
      <c r="B221" s="337" t="s">
        <v>108</v>
      </c>
      <c r="C221" s="338"/>
      <c r="D221" s="339"/>
      <c r="E221" s="21"/>
      <c r="F221" s="44"/>
    </row>
    <row r="222" spans="1:6">
      <c r="A222" s="336"/>
      <c r="B222" s="247" t="s">
        <v>30</v>
      </c>
      <c r="C222" s="248"/>
      <c r="D222" s="249"/>
      <c r="E222" s="21"/>
      <c r="F222" s="44"/>
    </row>
    <row r="223" spans="1:6">
      <c r="A223" s="281" t="s">
        <v>27</v>
      </c>
      <c r="B223" s="307" t="s">
        <v>31</v>
      </c>
      <c r="C223" s="280"/>
      <c r="D223" s="271"/>
      <c r="E223" s="21"/>
      <c r="F223" s="44"/>
    </row>
    <row r="224" spans="1:6">
      <c r="A224" s="281"/>
      <c r="B224" s="307" t="s">
        <v>32</v>
      </c>
      <c r="C224" s="280"/>
      <c r="D224" s="271"/>
      <c r="E224" s="21"/>
      <c r="F224" s="44"/>
    </row>
    <row r="225" spans="1:6">
      <c r="A225" s="281" t="s">
        <v>13</v>
      </c>
      <c r="B225" s="307" t="s">
        <v>9</v>
      </c>
      <c r="C225" s="280"/>
      <c r="D225" s="271"/>
      <c r="E225" s="21"/>
      <c r="F225" s="44"/>
    </row>
    <row r="226" spans="1:6">
      <c r="A226" s="281"/>
      <c r="B226" s="307" t="s">
        <v>33</v>
      </c>
      <c r="C226" s="280"/>
      <c r="D226" s="271"/>
      <c r="E226" s="21"/>
      <c r="F226" s="44"/>
    </row>
    <row r="227" spans="1:6">
      <c r="A227" s="281"/>
      <c r="B227" s="307" t="s">
        <v>34</v>
      </c>
      <c r="C227" s="280"/>
      <c r="D227" s="271"/>
      <c r="E227" s="21"/>
      <c r="F227" s="44"/>
    </row>
    <row r="228" spans="1:6">
      <c r="A228" s="281"/>
      <c r="B228" s="307" t="s">
        <v>35</v>
      </c>
      <c r="C228" s="280"/>
      <c r="D228" s="271"/>
      <c r="E228" s="21"/>
      <c r="F228" s="44"/>
    </row>
    <row r="229" spans="1:6">
      <c r="A229" s="43" t="s">
        <v>8</v>
      </c>
      <c r="B229" s="244" t="s">
        <v>38</v>
      </c>
      <c r="C229" s="245"/>
      <c r="D229" s="246"/>
      <c r="E229" s="21"/>
      <c r="F229" s="44"/>
    </row>
    <row r="230" spans="1:6">
      <c r="A230" s="188" t="s">
        <v>39</v>
      </c>
      <c r="B230" s="188"/>
      <c r="C230" s="188"/>
      <c r="D230" s="188"/>
      <c r="E230" s="188"/>
      <c r="F230" s="188"/>
    </row>
    <row r="231" spans="1:6">
      <c r="A231" s="211" t="s">
        <v>41</v>
      </c>
      <c r="B231" s="307" t="s">
        <v>47</v>
      </c>
      <c r="C231" s="280"/>
      <c r="D231" s="271"/>
      <c r="E231" s="21"/>
      <c r="F231" s="44"/>
    </row>
    <row r="232" spans="1:6">
      <c r="A232" s="211"/>
      <c r="B232" s="307" t="s">
        <v>48</v>
      </c>
      <c r="C232" s="280"/>
      <c r="D232" s="271"/>
      <c r="E232" s="21"/>
      <c r="F232" s="44"/>
    </row>
    <row r="233" spans="1:6">
      <c r="A233" s="211"/>
      <c r="B233" s="307" t="s">
        <v>49</v>
      </c>
      <c r="C233" s="280"/>
      <c r="D233" s="271"/>
      <c r="E233" s="21"/>
      <c r="F233" s="44"/>
    </row>
    <row r="234" spans="1:6">
      <c r="A234" s="211"/>
      <c r="B234" s="307" t="s">
        <v>50</v>
      </c>
      <c r="C234" s="280"/>
      <c r="D234" s="271"/>
      <c r="E234" s="21"/>
      <c r="F234" s="44"/>
    </row>
    <row r="235" spans="1:6">
      <c r="A235" s="211"/>
      <c r="B235" s="307" t="s">
        <v>51</v>
      </c>
      <c r="C235" s="280"/>
      <c r="D235" s="271"/>
      <c r="E235" s="21"/>
      <c r="F235" s="44"/>
    </row>
    <row r="236" spans="1:6">
      <c r="A236" s="211"/>
      <c r="B236" s="270" t="s">
        <v>52</v>
      </c>
      <c r="C236" s="279"/>
      <c r="D236" s="278"/>
      <c r="E236" s="21"/>
      <c r="F236" s="44"/>
    </row>
    <row r="237" spans="1:6">
      <c r="A237" s="211"/>
      <c r="B237" s="307" t="s">
        <v>12</v>
      </c>
      <c r="C237" s="280"/>
      <c r="D237" s="271"/>
      <c r="E237" s="21"/>
      <c r="F237" s="44"/>
    </row>
    <row r="238" spans="1:6">
      <c r="A238" s="211"/>
      <c r="B238" s="247" t="s">
        <v>8</v>
      </c>
      <c r="C238" s="248"/>
      <c r="D238" s="249"/>
      <c r="E238" s="21">
        <v>9</v>
      </c>
      <c r="F238" s="44">
        <f>E238*900</f>
        <v>8100</v>
      </c>
    </row>
    <row r="239" spans="1:6">
      <c r="A239" s="211" t="s">
        <v>42</v>
      </c>
      <c r="B239" s="307" t="s">
        <v>53</v>
      </c>
      <c r="C239" s="280"/>
      <c r="D239" s="271"/>
      <c r="E239" s="21"/>
      <c r="F239" s="44"/>
    </row>
    <row r="240" spans="1:6">
      <c r="A240" s="211"/>
      <c r="B240" s="307" t="s">
        <v>54</v>
      </c>
      <c r="C240" s="280"/>
      <c r="D240" s="271"/>
      <c r="E240" s="21"/>
      <c r="F240" s="44"/>
    </row>
    <row r="241" spans="1:6">
      <c r="A241" s="211"/>
      <c r="B241" s="307" t="s">
        <v>55</v>
      </c>
      <c r="C241" s="280"/>
      <c r="D241" s="271"/>
      <c r="E241" s="21"/>
      <c r="F241" s="44"/>
    </row>
    <row r="242" spans="1:6">
      <c r="A242" s="211"/>
      <c r="B242" s="307" t="s">
        <v>34</v>
      </c>
      <c r="C242" s="280"/>
      <c r="D242" s="271"/>
      <c r="E242" s="21"/>
      <c r="F242" s="44"/>
    </row>
    <row r="243" spans="1:6">
      <c r="A243" s="211"/>
      <c r="B243" s="307" t="s">
        <v>56</v>
      </c>
      <c r="C243" s="280"/>
      <c r="D243" s="271"/>
      <c r="E243" s="21"/>
      <c r="F243" s="44"/>
    </row>
    <row r="244" spans="1:6">
      <c r="A244" s="211"/>
      <c r="B244" s="307" t="s">
        <v>57</v>
      </c>
      <c r="C244" s="280"/>
      <c r="D244" s="271"/>
      <c r="E244" s="21"/>
      <c r="F244" s="44"/>
    </row>
    <row r="245" spans="1:6">
      <c r="A245" s="211"/>
      <c r="B245" s="307" t="s">
        <v>58</v>
      </c>
      <c r="C245" s="280"/>
      <c r="D245" s="271"/>
      <c r="E245" s="21"/>
      <c r="F245" s="44"/>
    </row>
    <row r="246" spans="1:6">
      <c r="A246" s="211" t="s">
        <v>43</v>
      </c>
      <c r="B246" s="307" t="s">
        <v>36</v>
      </c>
      <c r="C246" s="280"/>
      <c r="D246" s="271"/>
      <c r="E246" s="21"/>
      <c r="F246" s="44"/>
    </row>
    <row r="247" spans="1:6">
      <c r="A247" s="211"/>
      <c r="B247" s="307" t="s">
        <v>59</v>
      </c>
      <c r="C247" s="280"/>
      <c r="D247" s="271"/>
      <c r="E247" s="21"/>
      <c r="F247" s="44"/>
    </row>
    <row r="248" spans="1:6">
      <c r="A248" s="211"/>
      <c r="B248" s="307" t="s">
        <v>37</v>
      </c>
      <c r="C248" s="280"/>
      <c r="D248" s="271"/>
      <c r="E248" s="21"/>
      <c r="F248" s="44"/>
    </row>
    <row r="249" spans="1:6">
      <c r="A249" s="211"/>
      <c r="B249" s="307" t="s">
        <v>60</v>
      </c>
      <c r="C249" s="280"/>
      <c r="D249" s="271"/>
      <c r="E249" s="21"/>
      <c r="F249" s="44"/>
    </row>
    <row r="250" spans="1:6">
      <c r="A250" s="211"/>
      <c r="B250" s="307" t="s">
        <v>61</v>
      </c>
      <c r="C250" s="280"/>
      <c r="D250" s="271"/>
      <c r="E250" s="21"/>
      <c r="F250" s="44"/>
    </row>
    <row r="251" spans="1:6" ht="28.8">
      <c r="A251" s="25" t="s">
        <v>44</v>
      </c>
      <c r="B251" s="314" t="s">
        <v>62</v>
      </c>
      <c r="C251" s="208"/>
      <c r="D251" s="209"/>
      <c r="E251" s="21"/>
      <c r="F251" s="44"/>
    </row>
    <row r="252" spans="1:6">
      <c r="A252" s="211" t="s">
        <v>45</v>
      </c>
      <c r="B252" s="307" t="s">
        <v>63</v>
      </c>
      <c r="C252" s="280"/>
      <c r="D252" s="271"/>
      <c r="E252" s="21"/>
      <c r="F252" s="44"/>
    </row>
    <row r="253" spans="1:6">
      <c r="A253" s="211"/>
      <c r="B253" s="307" t="s">
        <v>64</v>
      </c>
      <c r="C253" s="280"/>
      <c r="D253" s="271"/>
      <c r="E253" s="21"/>
      <c r="F253" s="44"/>
    </row>
    <row r="254" spans="1:6">
      <c r="A254" s="211"/>
      <c r="B254" s="307" t="s">
        <v>65</v>
      </c>
      <c r="C254" s="280"/>
      <c r="D254" s="271"/>
      <c r="E254" s="21"/>
      <c r="F254" s="44"/>
    </row>
    <row r="255" spans="1:6">
      <c r="A255" s="211"/>
      <c r="B255" s="307" t="s">
        <v>66</v>
      </c>
      <c r="C255" s="280"/>
      <c r="D255" s="271"/>
      <c r="E255" s="21"/>
      <c r="F255" s="44"/>
    </row>
    <row r="256" spans="1:6">
      <c r="A256" s="211"/>
      <c r="B256" s="307" t="s">
        <v>67</v>
      </c>
      <c r="C256" s="280"/>
      <c r="D256" s="271"/>
      <c r="E256" s="21"/>
      <c r="F256" s="44"/>
    </row>
    <row r="257" spans="1:6">
      <c r="A257" s="211"/>
      <c r="B257" s="307" t="s">
        <v>68</v>
      </c>
      <c r="C257" s="280"/>
      <c r="D257" s="271"/>
      <c r="E257" s="21"/>
      <c r="F257" s="44"/>
    </row>
    <row r="258" spans="1:6">
      <c r="A258" s="211" t="s">
        <v>46</v>
      </c>
      <c r="B258" s="307" t="s">
        <v>69</v>
      </c>
      <c r="C258" s="280"/>
      <c r="D258" s="271"/>
      <c r="E258" s="21">
        <v>14</v>
      </c>
      <c r="F258" s="44">
        <f>E258*900</f>
        <v>12600</v>
      </c>
    </row>
    <row r="259" spans="1:6">
      <c r="A259" s="211"/>
      <c r="B259" s="307" t="s">
        <v>70</v>
      </c>
      <c r="C259" s="280"/>
      <c r="D259" s="271"/>
      <c r="E259" s="21"/>
      <c r="F259" s="44"/>
    </row>
    <row r="260" spans="1:6">
      <c r="A260" s="188" t="s">
        <v>71</v>
      </c>
      <c r="B260" s="188"/>
      <c r="C260" s="188"/>
      <c r="D260" s="188"/>
      <c r="E260" s="188"/>
      <c r="F260" s="188"/>
    </row>
    <row r="261" spans="1:6">
      <c r="A261" s="211" t="s">
        <v>72</v>
      </c>
      <c r="B261" s="307" t="s">
        <v>54</v>
      </c>
      <c r="C261" s="280"/>
      <c r="D261" s="271"/>
      <c r="E261" s="42"/>
      <c r="F261" s="44"/>
    </row>
    <row r="262" spans="1:6">
      <c r="A262" s="211"/>
      <c r="B262" s="307" t="s">
        <v>55</v>
      </c>
      <c r="C262" s="280"/>
      <c r="D262" s="271"/>
      <c r="E262" s="42"/>
      <c r="F262" s="44"/>
    </row>
    <row r="263" spans="1:6">
      <c r="A263" s="211"/>
      <c r="B263" s="307" t="s">
        <v>64</v>
      </c>
      <c r="C263" s="280"/>
      <c r="D263" s="271"/>
      <c r="E263" s="42"/>
      <c r="F263" s="44"/>
    </row>
    <row r="264" spans="1:6">
      <c r="A264" s="211"/>
      <c r="B264" s="307" t="s">
        <v>66</v>
      </c>
      <c r="C264" s="280"/>
      <c r="D264" s="271"/>
      <c r="E264" s="42"/>
      <c r="F264" s="44"/>
    </row>
    <row r="265" spans="1:6">
      <c r="A265" s="316" t="s">
        <v>73</v>
      </c>
      <c r="B265" s="314" t="s">
        <v>74</v>
      </c>
      <c r="C265" s="208"/>
      <c r="D265" s="209"/>
      <c r="E265" s="42"/>
      <c r="F265" s="44"/>
    </row>
    <row r="266" spans="1:6">
      <c r="A266" s="317"/>
      <c r="B266" s="314" t="s">
        <v>75</v>
      </c>
      <c r="C266" s="208"/>
      <c r="D266" s="209"/>
      <c r="E266" s="42"/>
      <c r="F266" s="44"/>
    </row>
    <row r="267" spans="1:6">
      <c r="A267" s="318"/>
      <c r="B267" s="244" t="s">
        <v>76</v>
      </c>
      <c r="C267" s="245"/>
      <c r="D267" s="246"/>
      <c r="E267" s="46"/>
      <c r="F267" s="44"/>
    </row>
    <row r="268" spans="1:6">
      <c r="A268" s="241" t="s">
        <v>77</v>
      </c>
      <c r="B268" s="241"/>
      <c r="C268" s="241"/>
      <c r="D268" s="241"/>
      <c r="E268" s="241"/>
      <c r="F268" s="241"/>
    </row>
    <row r="269" spans="1:6">
      <c r="A269" s="211" t="s">
        <v>78</v>
      </c>
      <c r="B269" s="307" t="s">
        <v>83</v>
      </c>
      <c r="C269" s="280"/>
      <c r="D269" s="271"/>
      <c r="E269" s="21"/>
      <c r="F269" s="44"/>
    </row>
    <row r="270" spans="1:6">
      <c r="A270" s="211"/>
      <c r="B270" s="307" t="s">
        <v>15</v>
      </c>
      <c r="C270" s="280"/>
      <c r="D270" s="271"/>
      <c r="E270" s="21"/>
      <c r="F270" s="44"/>
    </row>
    <row r="271" spans="1:6">
      <c r="A271" s="211"/>
      <c r="B271" s="307" t="s">
        <v>84</v>
      </c>
      <c r="C271" s="280"/>
      <c r="D271" s="271"/>
      <c r="E271" s="21"/>
      <c r="F271" s="44"/>
    </row>
    <row r="272" spans="1:6">
      <c r="A272" s="211"/>
      <c r="B272" s="307" t="s">
        <v>85</v>
      </c>
      <c r="C272" s="280"/>
      <c r="D272" s="271"/>
      <c r="E272" s="21"/>
      <c r="F272" s="44"/>
    </row>
    <row r="273" spans="1:6">
      <c r="A273" s="211"/>
      <c r="B273" s="307" t="s">
        <v>86</v>
      </c>
      <c r="C273" s="280"/>
      <c r="D273" s="271"/>
      <c r="E273" s="21"/>
      <c r="F273" s="44"/>
    </row>
    <row r="274" spans="1:6">
      <c r="A274" s="211"/>
      <c r="B274" s="307" t="s">
        <v>87</v>
      </c>
      <c r="C274" s="280"/>
      <c r="D274" s="271"/>
      <c r="E274" s="21"/>
      <c r="F274" s="44"/>
    </row>
    <row r="275" spans="1:6">
      <c r="A275" s="211"/>
      <c r="B275" s="307" t="s">
        <v>88</v>
      </c>
      <c r="C275" s="280"/>
      <c r="D275" s="271"/>
      <c r="E275" s="21"/>
      <c r="F275" s="44"/>
    </row>
    <row r="276" spans="1:6">
      <c r="A276" s="211" t="s">
        <v>79</v>
      </c>
      <c r="B276" s="307" t="s">
        <v>89</v>
      </c>
      <c r="C276" s="280"/>
      <c r="D276" s="271"/>
      <c r="E276" s="21"/>
      <c r="F276" s="44"/>
    </row>
    <row r="277" spans="1:6">
      <c r="A277" s="211"/>
      <c r="B277" s="307" t="s">
        <v>90</v>
      </c>
      <c r="C277" s="280"/>
      <c r="D277" s="271"/>
      <c r="E277" s="21"/>
      <c r="F277" s="44"/>
    </row>
    <row r="278" spans="1:6">
      <c r="A278" s="211"/>
      <c r="B278" s="307" t="s">
        <v>91</v>
      </c>
      <c r="C278" s="280"/>
      <c r="D278" s="271"/>
      <c r="E278" s="21">
        <v>1</v>
      </c>
      <c r="F278" s="44">
        <v>900</v>
      </c>
    </row>
    <row r="279" spans="1:6">
      <c r="A279" s="211"/>
      <c r="B279" s="307" t="s">
        <v>92</v>
      </c>
      <c r="C279" s="280"/>
      <c r="D279" s="271"/>
      <c r="E279" s="21"/>
      <c r="F279" s="44"/>
    </row>
    <row r="280" spans="1:6">
      <c r="A280" s="211"/>
      <c r="B280" s="307" t="s">
        <v>93</v>
      </c>
      <c r="C280" s="280"/>
      <c r="D280" s="271"/>
      <c r="E280" s="21">
        <v>1</v>
      </c>
      <c r="F280" s="44">
        <v>1800</v>
      </c>
    </row>
    <row r="281" spans="1:6">
      <c r="A281" s="211"/>
      <c r="B281" s="307" t="s">
        <v>94</v>
      </c>
      <c r="C281" s="280"/>
      <c r="D281" s="271"/>
      <c r="E281" s="21"/>
      <c r="F281" s="44"/>
    </row>
    <row r="282" spans="1:6">
      <c r="A282" s="211"/>
      <c r="B282" s="307" t="s">
        <v>95</v>
      </c>
      <c r="C282" s="280"/>
      <c r="D282" s="271"/>
      <c r="E282" s="21"/>
      <c r="F282" s="44"/>
    </row>
    <row r="283" spans="1:6">
      <c r="A283" s="211"/>
      <c r="B283" s="307" t="s">
        <v>96</v>
      </c>
      <c r="C283" s="280"/>
      <c r="D283" s="271"/>
      <c r="E283" s="21"/>
      <c r="F283" s="44"/>
    </row>
    <row r="284" spans="1:6">
      <c r="A284" s="211"/>
      <c r="B284" s="307" t="s">
        <v>97</v>
      </c>
      <c r="C284" s="280"/>
      <c r="D284" s="271"/>
      <c r="E284" s="21"/>
      <c r="F284" s="44"/>
    </row>
    <row r="285" spans="1:6">
      <c r="A285" s="211"/>
      <c r="B285" s="307" t="s">
        <v>98</v>
      </c>
      <c r="C285" s="280"/>
      <c r="D285" s="271"/>
      <c r="E285" s="21"/>
      <c r="F285" s="44"/>
    </row>
    <row r="286" spans="1:6">
      <c r="A286" s="211"/>
      <c r="B286" s="307" t="s">
        <v>99</v>
      </c>
      <c r="C286" s="280"/>
      <c r="D286" s="271"/>
      <c r="E286" s="21"/>
      <c r="F286" s="44"/>
    </row>
    <row r="287" spans="1:6">
      <c r="A287" s="211"/>
      <c r="B287" s="307" t="s">
        <v>100</v>
      </c>
      <c r="C287" s="280"/>
      <c r="D287" s="271"/>
      <c r="E287" s="21">
        <v>1</v>
      </c>
      <c r="F287" s="44">
        <v>180</v>
      </c>
    </row>
    <row r="288" spans="1:6">
      <c r="A288" s="39" t="s">
        <v>80</v>
      </c>
      <c r="B288" s="262" t="s">
        <v>101</v>
      </c>
      <c r="C288" s="319"/>
      <c r="D288" s="263"/>
      <c r="E288" s="21"/>
      <c r="F288" s="44"/>
    </row>
    <row r="289" spans="1:6">
      <c r="A289" s="211" t="s">
        <v>81</v>
      </c>
      <c r="B289" s="314" t="s">
        <v>102</v>
      </c>
      <c r="C289" s="208"/>
      <c r="D289" s="209"/>
      <c r="E289" s="21"/>
      <c r="F289" s="44"/>
    </row>
    <row r="290" spans="1:6">
      <c r="A290" s="211"/>
      <c r="B290" s="207" t="s">
        <v>113</v>
      </c>
      <c r="C290" s="294"/>
      <c r="D290" s="274"/>
      <c r="E290" s="21">
        <v>1</v>
      </c>
      <c r="F290" s="44">
        <v>900</v>
      </c>
    </row>
    <row r="291" spans="1:6">
      <c r="A291" s="233"/>
      <c r="B291" s="207" t="s">
        <v>110</v>
      </c>
      <c r="C291" s="294"/>
      <c r="D291" s="274"/>
      <c r="E291" s="44">
        <v>1</v>
      </c>
      <c r="F291" s="44">
        <v>1420</v>
      </c>
    </row>
    <row r="292" spans="1:6">
      <c r="A292" s="211" t="s">
        <v>82</v>
      </c>
      <c r="B292" s="307" t="s">
        <v>103</v>
      </c>
      <c r="C292" s="280"/>
      <c r="D292" s="271"/>
      <c r="E292" s="21"/>
      <c r="F292" s="44"/>
    </row>
    <row r="293" spans="1:6">
      <c r="A293" s="211"/>
      <c r="B293" s="307" t="s">
        <v>104</v>
      </c>
      <c r="C293" s="280"/>
      <c r="D293" s="271"/>
      <c r="E293" s="21"/>
      <c r="F293" s="44"/>
    </row>
    <row r="294" spans="1:6">
      <c r="A294" s="211"/>
      <c r="B294" s="307" t="s">
        <v>105</v>
      </c>
      <c r="C294" s="280"/>
      <c r="D294" s="271"/>
      <c r="E294" s="21"/>
      <c r="F294" s="44"/>
    </row>
    <row r="295" spans="1:6">
      <c r="A295" s="211"/>
      <c r="B295" s="207" t="s">
        <v>115</v>
      </c>
      <c r="C295" s="208"/>
      <c r="D295" s="209"/>
      <c r="E295" s="21"/>
      <c r="F295" s="44"/>
    </row>
    <row r="296" spans="1:6">
      <c r="A296" s="211"/>
      <c r="B296" s="307" t="s">
        <v>106</v>
      </c>
      <c r="C296" s="280"/>
      <c r="D296" s="271"/>
      <c r="E296" s="21"/>
      <c r="F296" s="44"/>
    </row>
    <row r="297" spans="1:6">
      <c r="A297" s="211"/>
      <c r="B297" s="307" t="s">
        <v>107</v>
      </c>
      <c r="C297" s="280"/>
      <c r="D297" s="271"/>
      <c r="E297" s="21"/>
      <c r="F297" s="44"/>
    </row>
    <row r="298" spans="1:6">
      <c r="F298" s="10">
        <f>SUM(F210:F297)</f>
        <v>25900</v>
      </c>
    </row>
    <row r="301" spans="1:6">
      <c r="A301" s="340" t="s">
        <v>116</v>
      </c>
      <c r="B301" s="340"/>
      <c r="C301" s="340"/>
      <c r="D301" s="340"/>
      <c r="E301" s="340"/>
      <c r="F301" s="340"/>
    </row>
    <row r="302" spans="1:6">
      <c r="A302" s="19"/>
      <c r="B302" s="19"/>
      <c r="C302" s="19" t="s">
        <v>118</v>
      </c>
      <c r="D302" s="37" t="s">
        <v>122</v>
      </c>
      <c r="E302" s="6"/>
      <c r="F302" s="45"/>
    </row>
    <row r="303" spans="1:6">
      <c r="A303" s="1"/>
      <c r="B303" s="19"/>
      <c r="C303" s="19" t="s">
        <v>0</v>
      </c>
      <c r="D303" s="34">
        <f>Pangbal!B3*194*100</f>
        <v>3841200</v>
      </c>
      <c r="E303" s="6"/>
      <c r="F303" s="11"/>
    </row>
    <row r="304" spans="1:6">
      <c r="A304" s="19"/>
      <c r="B304" s="19"/>
      <c r="C304" s="19" t="s">
        <v>2</v>
      </c>
      <c r="D304" s="35">
        <f>D303*1/9</f>
        <v>426800</v>
      </c>
      <c r="E304" s="6"/>
      <c r="F304" s="22"/>
    </row>
    <row r="305" spans="1:6">
      <c r="A305" s="7"/>
      <c r="B305" s="19"/>
      <c r="C305" s="19" t="s">
        <v>3</v>
      </c>
      <c r="D305" s="35">
        <f>SUM(D303:D304)</f>
        <v>4268000</v>
      </c>
      <c r="E305" s="6"/>
      <c r="F305" s="11"/>
    </row>
    <row r="306" spans="1:6">
      <c r="A306" s="7"/>
      <c r="B306" s="19"/>
      <c r="C306" s="19" t="s">
        <v>4</v>
      </c>
      <c r="D306" s="35">
        <f>D305*0.06</f>
        <v>256080</v>
      </c>
      <c r="E306" s="6"/>
      <c r="F306" s="11"/>
    </row>
    <row r="307" spans="1:6">
      <c r="A307" s="7"/>
      <c r="B307" s="19"/>
      <c r="C307" s="19" t="s">
        <v>5</v>
      </c>
      <c r="D307" s="36">
        <f>SUM(D305:D306)</f>
        <v>4524080</v>
      </c>
      <c r="E307" s="6"/>
      <c r="F307" s="11"/>
    </row>
    <row r="308" spans="1:6" ht="28.8">
      <c r="A308" s="41" t="s">
        <v>18</v>
      </c>
      <c r="B308" s="341" t="s">
        <v>6</v>
      </c>
      <c r="C308" s="342"/>
      <c r="D308" s="343"/>
      <c r="E308" s="40" t="s">
        <v>111</v>
      </c>
      <c r="F308" s="40" t="s">
        <v>112</v>
      </c>
    </row>
    <row r="309" spans="1:6">
      <c r="A309" s="189" t="s">
        <v>40</v>
      </c>
      <c r="B309" s="189"/>
      <c r="C309" s="189"/>
      <c r="D309" s="189"/>
      <c r="E309" s="189"/>
      <c r="F309" s="189"/>
    </row>
    <row r="310" spans="1:6">
      <c r="A310" s="281" t="s">
        <v>19</v>
      </c>
      <c r="B310" s="314" t="s">
        <v>20</v>
      </c>
      <c r="C310" s="208"/>
      <c r="D310" s="209"/>
      <c r="E310" s="42"/>
      <c r="F310" s="44"/>
    </row>
    <row r="311" spans="1:6">
      <c r="A311" s="281"/>
      <c r="B311" s="314" t="s">
        <v>21</v>
      </c>
      <c r="C311" s="208"/>
      <c r="D311" s="209"/>
      <c r="E311" s="42"/>
      <c r="F311" s="44"/>
    </row>
    <row r="312" spans="1:6">
      <c r="A312" s="281"/>
      <c r="B312" s="314" t="s">
        <v>22</v>
      </c>
      <c r="C312" s="208"/>
      <c r="D312" s="209"/>
      <c r="E312" s="42"/>
      <c r="F312" s="44"/>
    </row>
    <row r="313" spans="1:6">
      <c r="A313" s="281"/>
      <c r="B313" s="314" t="s">
        <v>23</v>
      </c>
      <c r="C313" s="208"/>
      <c r="D313" s="209"/>
      <c r="E313" s="42"/>
      <c r="F313" s="44"/>
    </row>
    <row r="314" spans="1:6">
      <c r="A314" s="281"/>
      <c r="B314" s="314" t="s">
        <v>12</v>
      </c>
      <c r="C314" s="208"/>
      <c r="D314" s="209"/>
      <c r="E314" s="42"/>
      <c r="F314" s="44"/>
    </row>
    <row r="315" spans="1:6">
      <c r="A315" s="281"/>
      <c r="B315" s="314" t="s">
        <v>24</v>
      </c>
      <c r="C315" s="208"/>
      <c r="D315" s="209"/>
      <c r="E315" s="42"/>
      <c r="F315" s="44"/>
    </row>
    <row r="316" spans="1:6">
      <c r="A316" s="281" t="s">
        <v>25</v>
      </c>
      <c r="B316" s="272" t="s">
        <v>17</v>
      </c>
      <c r="C316" s="297"/>
      <c r="D316" s="273"/>
      <c r="E316" s="21"/>
      <c r="F316" s="44"/>
    </row>
    <row r="317" spans="1:6">
      <c r="A317" s="281"/>
      <c r="B317" s="307" t="s">
        <v>16</v>
      </c>
      <c r="C317" s="280"/>
      <c r="D317" s="271"/>
      <c r="E317" s="21"/>
      <c r="F317" s="44"/>
    </row>
    <row r="318" spans="1:6">
      <c r="A318" s="281"/>
      <c r="B318" s="307" t="s">
        <v>28</v>
      </c>
      <c r="C318" s="280"/>
      <c r="D318" s="271"/>
      <c r="E318" s="21"/>
      <c r="F318" s="44"/>
    </row>
    <row r="319" spans="1:6">
      <c r="A319" s="281"/>
      <c r="B319" s="247" t="s">
        <v>11</v>
      </c>
      <c r="C319" s="248"/>
      <c r="D319" s="249"/>
      <c r="E319" s="21">
        <v>2</v>
      </c>
      <c r="F319" s="44">
        <f>1800*E319</f>
        <v>3600</v>
      </c>
    </row>
    <row r="320" spans="1:6">
      <c r="A320" s="281"/>
      <c r="B320" s="247" t="s">
        <v>29</v>
      </c>
      <c r="C320" s="248"/>
      <c r="D320" s="249"/>
      <c r="E320" s="21"/>
      <c r="F320" s="44"/>
    </row>
    <row r="321" spans="1:6">
      <c r="A321" s="336" t="s">
        <v>26</v>
      </c>
      <c r="B321" s="337" t="s">
        <v>108</v>
      </c>
      <c r="C321" s="338"/>
      <c r="D321" s="339"/>
      <c r="E321" s="21"/>
      <c r="F321" s="44"/>
    </row>
    <row r="322" spans="1:6">
      <c r="A322" s="336"/>
      <c r="B322" s="247" t="s">
        <v>30</v>
      </c>
      <c r="C322" s="248"/>
      <c r="D322" s="249"/>
      <c r="E322" s="21"/>
      <c r="F322" s="44"/>
    </row>
    <row r="323" spans="1:6">
      <c r="A323" s="281" t="s">
        <v>27</v>
      </c>
      <c r="B323" s="307" t="s">
        <v>31</v>
      </c>
      <c r="C323" s="280"/>
      <c r="D323" s="271"/>
      <c r="E323" s="21"/>
      <c r="F323" s="44"/>
    </row>
    <row r="324" spans="1:6">
      <c r="A324" s="281"/>
      <c r="B324" s="307" t="s">
        <v>32</v>
      </c>
      <c r="C324" s="280"/>
      <c r="D324" s="271"/>
      <c r="E324" s="21"/>
      <c r="F324" s="44"/>
    </row>
    <row r="325" spans="1:6">
      <c r="A325" s="281" t="s">
        <v>13</v>
      </c>
      <c r="B325" s="307" t="s">
        <v>9</v>
      </c>
      <c r="C325" s="280"/>
      <c r="D325" s="271"/>
      <c r="E325" s="21"/>
      <c r="F325" s="44"/>
    </row>
    <row r="326" spans="1:6">
      <c r="A326" s="281"/>
      <c r="B326" s="307" t="s">
        <v>33</v>
      </c>
      <c r="C326" s="280"/>
      <c r="D326" s="271"/>
      <c r="E326" s="21"/>
      <c r="F326" s="44"/>
    </row>
    <row r="327" spans="1:6">
      <c r="A327" s="281"/>
      <c r="B327" s="307" t="s">
        <v>34</v>
      </c>
      <c r="C327" s="280"/>
      <c r="D327" s="271"/>
      <c r="E327" s="21"/>
      <c r="F327" s="44"/>
    </row>
    <row r="328" spans="1:6">
      <c r="A328" s="281"/>
      <c r="B328" s="307" t="s">
        <v>35</v>
      </c>
      <c r="C328" s="280"/>
      <c r="D328" s="271"/>
      <c r="E328" s="21">
        <v>1</v>
      </c>
      <c r="F328" s="44">
        <v>1090</v>
      </c>
    </row>
    <row r="329" spans="1:6">
      <c r="A329" s="43" t="s">
        <v>8</v>
      </c>
      <c r="B329" s="244" t="s">
        <v>38</v>
      </c>
      <c r="C329" s="245"/>
      <c r="D329" s="246"/>
      <c r="E329" s="21"/>
      <c r="F329" s="44"/>
    </row>
    <row r="330" spans="1:6">
      <c r="A330" s="188" t="s">
        <v>39</v>
      </c>
      <c r="B330" s="188"/>
      <c r="C330" s="188"/>
      <c r="D330" s="188"/>
      <c r="E330" s="188"/>
      <c r="F330" s="188"/>
    </row>
    <row r="331" spans="1:6">
      <c r="A331" s="211" t="s">
        <v>41</v>
      </c>
      <c r="B331" s="307" t="s">
        <v>47</v>
      </c>
      <c r="C331" s="280"/>
      <c r="D331" s="271"/>
      <c r="E331" s="21"/>
      <c r="F331" s="44"/>
    </row>
    <row r="332" spans="1:6">
      <c r="A332" s="211"/>
      <c r="B332" s="307" t="s">
        <v>48</v>
      </c>
      <c r="C332" s="280"/>
      <c r="D332" s="271"/>
      <c r="E332" s="21"/>
      <c r="F332" s="44"/>
    </row>
    <row r="333" spans="1:6">
      <c r="A333" s="211"/>
      <c r="B333" s="307" t="s">
        <v>49</v>
      </c>
      <c r="C333" s="280"/>
      <c r="D333" s="271"/>
      <c r="E333" s="21"/>
      <c r="F333" s="44"/>
    </row>
    <row r="334" spans="1:6">
      <c r="A334" s="211"/>
      <c r="B334" s="307" t="s">
        <v>50</v>
      </c>
      <c r="C334" s="280"/>
      <c r="D334" s="271"/>
      <c r="E334" s="21"/>
      <c r="F334" s="44"/>
    </row>
    <row r="335" spans="1:6">
      <c r="A335" s="211"/>
      <c r="B335" s="307" t="s">
        <v>51</v>
      </c>
      <c r="C335" s="280"/>
      <c r="D335" s="271"/>
      <c r="E335" s="21"/>
      <c r="F335" s="44"/>
    </row>
    <row r="336" spans="1:6">
      <c r="A336" s="211"/>
      <c r="B336" s="270" t="s">
        <v>52</v>
      </c>
      <c r="C336" s="279"/>
      <c r="D336" s="278"/>
      <c r="E336" s="21"/>
      <c r="F336" s="44"/>
    </row>
    <row r="337" spans="1:6">
      <c r="A337" s="211"/>
      <c r="B337" s="307" t="s">
        <v>12</v>
      </c>
      <c r="C337" s="280"/>
      <c r="D337" s="271"/>
      <c r="E337" s="21">
        <v>1</v>
      </c>
      <c r="F337" s="44">
        <v>180</v>
      </c>
    </row>
    <row r="338" spans="1:6">
      <c r="A338" s="211"/>
      <c r="B338" s="247" t="s">
        <v>8</v>
      </c>
      <c r="C338" s="248"/>
      <c r="D338" s="249"/>
      <c r="E338" s="21">
        <v>6</v>
      </c>
      <c r="F338" s="44">
        <f>900*E338</f>
        <v>5400</v>
      </c>
    </row>
    <row r="339" spans="1:6">
      <c r="A339" s="211" t="s">
        <v>42</v>
      </c>
      <c r="B339" s="307" t="s">
        <v>53</v>
      </c>
      <c r="C339" s="280"/>
      <c r="D339" s="271"/>
      <c r="E339" s="21"/>
      <c r="F339" s="44"/>
    </row>
    <row r="340" spans="1:6">
      <c r="A340" s="211"/>
      <c r="B340" s="307" t="s">
        <v>54</v>
      </c>
      <c r="C340" s="280"/>
      <c r="D340" s="271"/>
      <c r="E340" s="21"/>
      <c r="F340" s="44"/>
    </row>
    <row r="341" spans="1:6">
      <c r="A341" s="211"/>
      <c r="B341" s="307" t="s">
        <v>55</v>
      </c>
      <c r="C341" s="280"/>
      <c r="D341" s="271"/>
      <c r="E341" s="21"/>
      <c r="F341" s="44"/>
    </row>
    <row r="342" spans="1:6">
      <c r="A342" s="211"/>
      <c r="B342" s="307" t="s">
        <v>34</v>
      </c>
      <c r="C342" s="280"/>
      <c r="D342" s="271"/>
      <c r="E342" s="21"/>
      <c r="F342" s="44"/>
    </row>
    <row r="343" spans="1:6">
      <c r="A343" s="211"/>
      <c r="B343" s="307" t="s">
        <v>56</v>
      </c>
      <c r="C343" s="280"/>
      <c r="D343" s="271"/>
      <c r="E343" s="21"/>
      <c r="F343" s="44"/>
    </row>
    <row r="344" spans="1:6">
      <c r="A344" s="211"/>
      <c r="B344" s="307" t="s">
        <v>57</v>
      </c>
      <c r="C344" s="280"/>
      <c r="D344" s="271"/>
      <c r="E344" s="21"/>
      <c r="F344" s="44"/>
    </row>
    <row r="345" spans="1:6">
      <c r="A345" s="211"/>
      <c r="B345" s="307" t="s">
        <v>58</v>
      </c>
      <c r="C345" s="280"/>
      <c r="D345" s="271"/>
      <c r="E345" s="21"/>
      <c r="F345" s="44"/>
    </row>
    <row r="346" spans="1:6">
      <c r="A346" s="211" t="s">
        <v>43</v>
      </c>
      <c r="B346" s="307" t="s">
        <v>36</v>
      </c>
      <c r="C346" s="280"/>
      <c r="D346" s="271"/>
      <c r="E346" s="21"/>
      <c r="F346" s="44"/>
    </row>
    <row r="347" spans="1:6">
      <c r="A347" s="211"/>
      <c r="B347" s="307" t="s">
        <v>59</v>
      </c>
      <c r="C347" s="280"/>
      <c r="D347" s="271"/>
      <c r="E347" s="21"/>
      <c r="F347" s="44"/>
    </row>
    <row r="348" spans="1:6">
      <c r="A348" s="211"/>
      <c r="B348" s="307" t="s">
        <v>37</v>
      </c>
      <c r="C348" s="280"/>
      <c r="D348" s="271"/>
      <c r="E348" s="21"/>
      <c r="F348" s="44"/>
    </row>
    <row r="349" spans="1:6">
      <c r="A349" s="211"/>
      <c r="B349" s="307" t="s">
        <v>60</v>
      </c>
      <c r="C349" s="280"/>
      <c r="D349" s="271"/>
      <c r="E349" s="21"/>
      <c r="F349" s="44"/>
    </row>
    <row r="350" spans="1:6">
      <c r="A350" s="211"/>
      <c r="B350" s="307" t="s">
        <v>61</v>
      </c>
      <c r="C350" s="280"/>
      <c r="D350" s="271"/>
      <c r="E350" s="21"/>
      <c r="F350" s="44"/>
    </row>
    <row r="351" spans="1:6" ht="28.8">
      <c r="A351" s="25" t="s">
        <v>44</v>
      </c>
      <c r="B351" s="314" t="s">
        <v>62</v>
      </c>
      <c r="C351" s="208"/>
      <c r="D351" s="209"/>
      <c r="E351" s="21"/>
      <c r="F351" s="44"/>
    </row>
    <row r="352" spans="1:6">
      <c r="A352" s="211" t="s">
        <v>45</v>
      </c>
      <c r="B352" s="307" t="s">
        <v>63</v>
      </c>
      <c r="C352" s="280"/>
      <c r="D352" s="271"/>
      <c r="E352" s="21"/>
      <c r="F352" s="44"/>
    </row>
    <row r="353" spans="1:6">
      <c r="A353" s="211"/>
      <c r="B353" s="307" t="s">
        <v>64</v>
      </c>
      <c r="C353" s="280"/>
      <c r="D353" s="271"/>
      <c r="E353" s="21"/>
      <c r="F353" s="44"/>
    </row>
    <row r="354" spans="1:6">
      <c r="A354" s="211"/>
      <c r="B354" s="307" t="s">
        <v>65</v>
      </c>
      <c r="C354" s="280"/>
      <c r="D354" s="271"/>
      <c r="E354" s="21"/>
      <c r="F354" s="44"/>
    </row>
    <row r="355" spans="1:6">
      <c r="A355" s="211"/>
      <c r="B355" s="307" t="s">
        <v>66</v>
      </c>
      <c r="C355" s="280"/>
      <c r="D355" s="271"/>
      <c r="E355" s="21"/>
      <c r="F355" s="44"/>
    </row>
    <row r="356" spans="1:6">
      <c r="A356" s="211"/>
      <c r="B356" s="307" t="s">
        <v>67</v>
      </c>
      <c r="C356" s="280"/>
      <c r="D356" s="271"/>
      <c r="E356" s="21"/>
      <c r="F356" s="44"/>
    </row>
    <row r="357" spans="1:6">
      <c r="A357" s="211"/>
      <c r="B357" s="307" t="s">
        <v>68</v>
      </c>
      <c r="C357" s="280"/>
      <c r="D357" s="271"/>
      <c r="E357" s="21"/>
      <c r="F357" s="44"/>
    </row>
    <row r="358" spans="1:6">
      <c r="A358" s="211" t="s">
        <v>46</v>
      </c>
      <c r="B358" s="307" t="s">
        <v>69</v>
      </c>
      <c r="C358" s="280"/>
      <c r="D358" s="271"/>
      <c r="E358" s="21">
        <v>9</v>
      </c>
      <c r="F358" s="44">
        <f>E358*900</f>
        <v>8100</v>
      </c>
    </row>
    <row r="359" spans="1:6">
      <c r="A359" s="211"/>
      <c r="B359" s="307" t="s">
        <v>70</v>
      </c>
      <c r="C359" s="280"/>
      <c r="D359" s="271"/>
      <c r="E359" s="21"/>
      <c r="F359" s="44"/>
    </row>
    <row r="360" spans="1:6">
      <c r="A360" s="188" t="s">
        <v>71</v>
      </c>
      <c r="B360" s="188"/>
      <c r="C360" s="188"/>
      <c r="D360" s="188"/>
      <c r="E360" s="188"/>
      <c r="F360" s="188"/>
    </row>
    <row r="361" spans="1:6">
      <c r="A361" s="211" t="s">
        <v>72</v>
      </c>
      <c r="B361" s="307" t="s">
        <v>54</v>
      </c>
      <c r="C361" s="280"/>
      <c r="D361" s="271"/>
      <c r="E361" s="42"/>
      <c r="F361" s="44"/>
    </row>
    <row r="362" spans="1:6">
      <c r="A362" s="211"/>
      <c r="B362" s="307" t="s">
        <v>55</v>
      </c>
      <c r="C362" s="280"/>
      <c r="D362" s="271"/>
      <c r="E362" s="42"/>
      <c r="F362" s="44"/>
    </row>
    <row r="363" spans="1:6">
      <c r="A363" s="211"/>
      <c r="B363" s="307" t="s">
        <v>64</v>
      </c>
      <c r="C363" s="280"/>
      <c r="D363" s="271"/>
      <c r="E363" s="42"/>
      <c r="F363" s="44"/>
    </row>
    <row r="364" spans="1:6">
      <c r="A364" s="211"/>
      <c r="B364" s="307" t="s">
        <v>66</v>
      </c>
      <c r="C364" s="280"/>
      <c r="D364" s="271"/>
      <c r="E364" s="42"/>
      <c r="F364" s="44"/>
    </row>
    <row r="365" spans="1:6">
      <c r="A365" s="316" t="s">
        <v>73</v>
      </c>
      <c r="B365" s="314" t="s">
        <v>74</v>
      </c>
      <c r="C365" s="208"/>
      <c r="D365" s="209"/>
      <c r="E365" s="42"/>
      <c r="F365" s="44"/>
    </row>
    <row r="366" spans="1:6">
      <c r="A366" s="317"/>
      <c r="B366" s="314" t="s">
        <v>75</v>
      </c>
      <c r="C366" s="208"/>
      <c r="D366" s="209"/>
      <c r="E366" s="42">
        <v>1</v>
      </c>
      <c r="F366" s="44">
        <v>270</v>
      </c>
    </row>
    <row r="367" spans="1:6">
      <c r="A367" s="318"/>
      <c r="B367" s="244" t="s">
        <v>76</v>
      </c>
      <c r="C367" s="245"/>
      <c r="D367" s="246"/>
      <c r="E367" s="46"/>
      <c r="F367" s="44"/>
    </row>
    <row r="368" spans="1:6">
      <c r="A368" s="241" t="s">
        <v>77</v>
      </c>
      <c r="B368" s="241"/>
      <c r="C368" s="241"/>
      <c r="D368" s="241"/>
      <c r="E368" s="241"/>
      <c r="F368" s="241"/>
    </row>
    <row r="369" spans="1:6">
      <c r="A369" s="211" t="s">
        <v>78</v>
      </c>
      <c r="B369" s="307" t="s">
        <v>83</v>
      </c>
      <c r="C369" s="280"/>
      <c r="D369" s="271"/>
      <c r="E369" s="21"/>
      <c r="F369" s="44"/>
    </row>
    <row r="370" spans="1:6">
      <c r="A370" s="211"/>
      <c r="B370" s="307" t="s">
        <v>15</v>
      </c>
      <c r="C370" s="280"/>
      <c r="D370" s="271"/>
      <c r="E370" s="21"/>
      <c r="F370" s="44"/>
    </row>
    <row r="371" spans="1:6">
      <c r="A371" s="211"/>
      <c r="B371" s="307" t="s">
        <v>84</v>
      </c>
      <c r="C371" s="280"/>
      <c r="D371" s="271"/>
      <c r="E371" s="21"/>
      <c r="F371" s="44"/>
    </row>
    <row r="372" spans="1:6">
      <c r="A372" s="211"/>
      <c r="B372" s="307" t="s">
        <v>85</v>
      </c>
      <c r="C372" s="280"/>
      <c r="D372" s="271"/>
      <c r="E372" s="21"/>
      <c r="F372" s="44"/>
    </row>
    <row r="373" spans="1:6">
      <c r="A373" s="211"/>
      <c r="B373" s="307" t="s">
        <v>86</v>
      </c>
      <c r="C373" s="280"/>
      <c r="D373" s="271"/>
      <c r="E373" s="21"/>
      <c r="F373" s="44"/>
    </row>
    <row r="374" spans="1:6">
      <c r="A374" s="211"/>
      <c r="B374" s="270" t="s">
        <v>123</v>
      </c>
      <c r="C374" s="280"/>
      <c r="D374" s="271"/>
      <c r="E374" s="21">
        <v>1</v>
      </c>
      <c r="F374" s="44">
        <v>900</v>
      </c>
    </row>
    <row r="375" spans="1:6">
      <c r="A375" s="211"/>
      <c r="B375" s="307" t="s">
        <v>88</v>
      </c>
      <c r="C375" s="280"/>
      <c r="D375" s="271"/>
      <c r="E375" s="21"/>
      <c r="F375" s="44"/>
    </row>
    <row r="376" spans="1:6">
      <c r="A376" s="211" t="s">
        <v>79</v>
      </c>
      <c r="B376" s="307" t="s">
        <v>89</v>
      </c>
      <c r="C376" s="280"/>
      <c r="D376" s="271"/>
      <c r="E376" s="21">
        <v>4</v>
      </c>
      <c r="F376" s="44">
        <f>270*E376</f>
        <v>1080</v>
      </c>
    </row>
    <row r="377" spans="1:6">
      <c r="A377" s="211"/>
      <c r="B377" s="270" t="s">
        <v>124</v>
      </c>
      <c r="C377" s="280"/>
      <c r="D377" s="271"/>
      <c r="E377" s="21">
        <v>1</v>
      </c>
      <c r="F377" s="44">
        <v>180</v>
      </c>
    </row>
    <row r="378" spans="1:6">
      <c r="A378" s="211"/>
      <c r="B378" s="307" t="s">
        <v>91</v>
      </c>
      <c r="C378" s="280"/>
      <c r="D378" s="271"/>
      <c r="E378" s="21"/>
      <c r="F378" s="44"/>
    </row>
    <row r="379" spans="1:6">
      <c r="A379" s="211"/>
      <c r="B379" s="307" t="s">
        <v>92</v>
      </c>
      <c r="C379" s="280"/>
      <c r="D379" s="271"/>
      <c r="E379" s="21">
        <v>1</v>
      </c>
      <c r="F379" s="44">
        <v>450</v>
      </c>
    </row>
    <row r="380" spans="1:6">
      <c r="A380" s="211"/>
      <c r="B380" s="307" t="s">
        <v>93</v>
      </c>
      <c r="C380" s="280"/>
      <c r="D380" s="271"/>
      <c r="E380" s="21"/>
      <c r="F380" s="44"/>
    </row>
    <row r="381" spans="1:6">
      <c r="A381" s="211"/>
      <c r="B381" s="307" t="s">
        <v>94</v>
      </c>
      <c r="C381" s="280"/>
      <c r="D381" s="271"/>
      <c r="E381" s="21"/>
      <c r="F381" s="44"/>
    </row>
    <row r="382" spans="1:6">
      <c r="A382" s="211"/>
      <c r="B382" s="307" t="s">
        <v>95</v>
      </c>
      <c r="C382" s="280"/>
      <c r="D382" s="271"/>
      <c r="E382" s="21"/>
      <c r="F382" s="44"/>
    </row>
    <row r="383" spans="1:6">
      <c r="A383" s="211"/>
      <c r="B383" s="307" t="s">
        <v>96</v>
      </c>
      <c r="C383" s="280"/>
      <c r="D383" s="271"/>
      <c r="E383" s="21"/>
      <c r="F383" s="44"/>
    </row>
    <row r="384" spans="1:6">
      <c r="A384" s="211"/>
      <c r="B384" s="307" t="s">
        <v>97</v>
      </c>
      <c r="C384" s="280"/>
      <c r="D384" s="271"/>
      <c r="E384" s="21"/>
      <c r="F384" s="44"/>
    </row>
    <row r="385" spans="1:6">
      <c r="A385" s="211"/>
      <c r="B385" s="307" t="s">
        <v>98</v>
      </c>
      <c r="C385" s="280"/>
      <c r="D385" s="271"/>
      <c r="E385" s="21"/>
      <c r="F385" s="44"/>
    </row>
    <row r="386" spans="1:6">
      <c r="A386" s="211"/>
      <c r="B386" s="307" t="s">
        <v>99</v>
      </c>
      <c r="C386" s="280"/>
      <c r="D386" s="271"/>
      <c r="E386" s="21"/>
      <c r="F386" s="44"/>
    </row>
    <row r="387" spans="1:6">
      <c r="A387" s="211"/>
      <c r="B387" s="307" t="s">
        <v>100</v>
      </c>
      <c r="C387" s="280"/>
      <c r="D387" s="271"/>
      <c r="E387" s="21">
        <v>1</v>
      </c>
      <c r="F387" s="44">
        <v>50</v>
      </c>
    </row>
    <row r="388" spans="1:6">
      <c r="A388" s="39" t="s">
        <v>80</v>
      </c>
      <c r="B388" s="262" t="s">
        <v>101</v>
      </c>
      <c r="C388" s="319"/>
      <c r="D388" s="263"/>
      <c r="E388" s="21"/>
      <c r="F388" s="44"/>
    </row>
    <row r="389" spans="1:6">
      <c r="A389" s="211" t="s">
        <v>81</v>
      </c>
      <c r="B389" s="314" t="s">
        <v>102</v>
      </c>
      <c r="C389" s="208"/>
      <c r="D389" s="209"/>
      <c r="E389" s="21"/>
      <c r="F389" s="44"/>
    </row>
    <row r="390" spans="1:6">
      <c r="A390" s="211"/>
      <c r="B390" s="207" t="s">
        <v>113</v>
      </c>
      <c r="C390" s="294"/>
      <c r="D390" s="274"/>
      <c r="E390" s="21">
        <v>1</v>
      </c>
      <c r="F390" s="44">
        <v>450</v>
      </c>
    </row>
    <row r="391" spans="1:6">
      <c r="A391" s="233"/>
      <c r="B391" s="207" t="s">
        <v>125</v>
      </c>
      <c r="C391" s="294"/>
      <c r="D391" s="274"/>
      <c r="E391" s="44">
        <v>1</v>
      </c>
      <c r="F391" s="44">
        <v>450</v>
      </c>
    </row>
    <row r="392" spans="1:6">
      <c r="A392" s="211" t="s">
        <v>82</v>
      </c>
      <c r="B392" s="307" t="s">
        <v>103</v>
      </c>
      <c r="C392" s="280"/>
      <c r="D392" s="271"/>
      <c r="E392" s="21"/>
      <c r="F392" s="44"/>
    </row>
    <row r="393" spans="1:6">
      <c r="A393" s="211"/>
      <c r="B393" s="307" t="s">
        <v>104</v>
      </c>
      <c r="C393" s="280"/>
      <c r="D393" s="271"/>
      <c r="E393" s="21"/>
      <c r="F393" s="44"/>
    </row>
    <row r="394" spans="1:6">
      <c r="A394" s="211"/>
      <c r="B394" s="307" t="s">
        <v>105</v>
      </c>
      <c r="C394" s="280"/>
      <c r="D394" s="271"/>
      <c r="E394" s="21"/>
      <c r="F394" s="44"/>
    </row>
    <row r="395" spans="1:6">
      <c r="A395" s="211"/>
      <c r="B395" s="207" t="s">
        <v>115</v>
      </c>
      <c r="C395" s="208"/>
      <c r="D395" s="209"/>
      <c r="E395" s="21"/>
      <c r="F395" s="44"/>
    </row>
    <row r="396" spans="1:6">
      <c r="A396" s="211"/>
      <c r="B396" s="307" t="s">
        <v>106</v>
      </c>
      <c r="C396" s="280"/>
      <c r="D396" s="271"/>
      <c r="E396" s="21"/>
      <c r="F396" s="44"/>
    </row>
    <row r="397" spans="1:6">
      <c r="A397" s="211"/>
      <c r="B397" s="307" t="s">
        <v>107</v>
      </c>
      <c r="C397" s="280"/>
      <c r="D397" s="271"/>
      <c r="E397" s="21"/>
      <c r="F397" s="44"/>
    </row>
    <row r="398" spans="1:6">
      <c r="F398" s="10">
        <f>SUM(F310:F397)</f>
        <v>22200</v>
      </c>
    </row>
    <row r="402" spans="1:6">
      <c r="A402" s="340" t="s">
        <v>116</v>
      </c>
      <c r="B402" s="340"/>
      <c r="C402" s="340"/>
      <c r="D402" s="340"/>
      <c r="E402" s="340"/>
      <c r="F402" s="340"/>
    </row>
    <row r="403" spans="1:6">
      <c r="A403" s="19"/>
      <c r="B403" s="19"/>
      <c r="C403" s="19" t="s">
        <v>118</v>
      </c>
      <c r="D403" s="37" t="s">
        <v>126</v>
      </c>
      <c r="E403" s="6"/>
      <c r="F403" s="45"/>
    </row>
    <row r="404" spans="1:6">
      <c r="A404" s="1"/>
      <c r="B404" s="19"/>
      <c r="C404" s="19" t="s">
        <v>0</v>
      </c>
      <c r="D404" s="34">
        <f>S.Chhimluang!B3*194*100</f>
        <v>2425000</v>
      </c>
      <c r="E404" s="6"/>
      <c r="F404" s="11"/>
    </row>
    <row r="405" spans="1:6">
      <c r="A405" s="19"/>
      <c r="B405" s="19"/>
      <c r="C405" s="19" t="s">
        <v>2</v>
      </c>
      <c r="D405" s="35">
        <f>D404*1/9</f>
        <v>269444.44444444444</v>
      </c>
      <c r="E405" s="6"/>
      <c r="F405" s="22"/>
    </row>
    <row r="406" spans="1:6">
      <c r="A406" s="7"/>
      <c r="B406" s="19"/>
      <c r="C406" s="19" t="s">
        <v>3</v>
      </c>
      <c r="D406" s="35">
        <f>SUM(D404:D405)</f>
        <v>2694444.4444444445</v>
      </c>
      <c r="E406" s="6"/>
      <c r="F406" s="11"/>
    </row>
    <row r="407" spans="1:6">
      <c r="A407" s="7"/>
      <c r="B407" s="19"/>
      <c r="C407" s="19" t="s">
        <v>4</v>
      </c>
      <c r="D407" s="35">
        <f>D406*0.06</f>
        <v>161666.66666666666</v>
      </c>
      <c r="E407" s="6"/>
      <c r="F407" s="11"/>
    </row>
    <row r="408" spans="1:6">
      <c r="A408" s="7"/>
      <c r="B408" s="19"/>
      <c r="C408" s="19" t="s">
        <v>5</v>
      </c>
      <c r="D408" s="36">
        <f>SUM(D406:D407)</f>
        <v>2856111.111111111</v>
      </c>
      <c r="E408" s="6"/>
      <c r="F408" s="11"/>
    </row>
    <row r="409" spans="1:6" ht="28.8">
      <c r="A409" s="41" t="s">
        <v>18</v>
      </c>
      <c r="B409" s="341" t="s">
        <v>6</v>
      </c>
      <c r="C409" s="342"/>
      <c r="D409" s="343"/>
      <c r="E409" s="40" t="s">
        <v>111</v>
      </c>
      <c r="F409" s="40" t="s">
        <v>112</v>
      </c>
    </row>
    <row r="410" spans="1:6">
      <c r="A410" s="189" t="s">
        <v>40</v>
      </c>
      <c r="B410" s="189"/>
      <c r="C410" s="189"/>
      <c r="D410" s="189"/>
      <c r="E410" s="189"/>
      <c r="F410" s="189"/>
    </row>
    <row r="411" spans="1:6">
      <c r="A411" s="281" t="s">
        <v>19</v>
      </c>
      <c r="B411" s="314" t="s">
        <v>20</v>
      </c>
      <c r="C411" s="208"/>
      <c r="D411" s="209"/>
      <c r="E411" s="42"/>
      <c r="F411" s="44"/>
    </row>
    <row r="412" spans="1:6">
      <c r="A412" s="281"/>
      <c r="B412" s="314" t="s">
        <v>21</v>
      </c>
      <c r="C412" s="208"/>
      <c r="D412" s="209"/>
      <c r="E412" s="42">
        <v>2</v>
      </c>
      <c r="F412" s="44">
        <f>180*E412</f>
        <v>360</v>
      </c>
    </row>
    <row r="413" spans="1:6">
      <c r="A413" s="281"/>
      <c r="B413" s="314" t="s">
        <v>22</v>
      </c>
      <c r="C413" s="208"/>
      <c r="D413" s="209"/>
      <c r="E413" s="42"/>
      <c r="F413" s="44"/>
    </row>
    <row r="414" spans="1:6">
      <c r="A414" s="281"/>
      <c r="B414" s="314" t="s">
        <v>23</v>
      </c>
      <c r="C414" s="208"/>
      <c r="D414" s="209"/>
      <c r="E414" s="42"/>
      <c r="F414" s="44"/>
    </row>
    <row r="415" spans="1:6">
      <c r="A415" s="281"/>
      <c r="B415" s="314" t="s">
        <v>12</v>
      </c>
      <c r="C415" s="208"/>
      <c r="D415" s="209"/>
      <c r="E415" s="42"/>
      <c r="F415" s="44"/>
    </row>
    <row r="416" spans="1:6">
      <c r="A416" s="281"/>
      <c r="B416" s="314" t="s">
        <v>24</v>
      </c>
      <c r="C416" s="208"/>
      <c r="D416" s="209"/>
      <c r="E416" s="42"/>
      <c r="F416" s="44"/>
    </row>
    <row r="417" spans="1:6">
      <c r="A417" s="281" t="s">
        <v>25</v>
      </c>
      <c r="B417" s="272" t="s">
        <v>17</v>
      </c>
      <c r="C417" s="297"/>
      <c r="D417" s="273"/>
      <c r="E417" s="21"/>
      <c r="F417" s="44"/>
    </row>
    <row r="418" spans="1:6">
      <c r="A418" s="281"/>
      <c r="B418" s="307" t="s">
        <v>16</v>
      </c>
      <c r="C418" s="280"/>
      <c r="D418" s="271"/>
      <c r="E418" s="21"/>
      <c r="F418" s="44"/>
    </row>
    <row r="419" spans="1:6">
      <c r="A419" s="281"/>
      <c r="B419" s="307" t="s">
        <v>28</v>
      </c>
      <c r="C419" s="280"/>
      <c r="D419" s="271"/>
      <c r="E419" s="21"/>
      <c r="F419" s="44"/>
    </row>
    <row r="420" spans="1:6">
      <c r="A420" s="281"/>
      <c r="B420" s="247" t="s">
        <v>11</v>
      </c>
      <c r="C420" s="248"/>
      <c r="D420" s="249"/>
      <c r="E420" s="21">
        <v>3</v>
      </c>
      <c r="F420" s="44">
        <f>900*E420</f>
        <v>2700</v>
      </c>
    </row>
    <row r="421" spans="1:6">
      <c r="A421" s="281"/>
      <c r="B421" s="247" t="s">
        <v>29</v>
      </c>
      <c r="C421" s="248"/>
      <c r="D421" s="249"/>
      <c r="E421" s="21"/>
      <c r="F421" s="44"/>
    </row>
    <row r="422" spans="1:6">
      <c r="A422" s="336" t="s">
        <v>26</v>
      </c>
      <c r="B422" s="337" t="s">
        <v>108</v>
      </c>
      <c r="C422" s="338"/>
      <c r="D422" s="339"/>
      <c r="E422" s="21"/>
      <c r="F422" s="44"/>
    </row>
    <row r="423" spans="1:6">
      <c r="A423" s="336"/>
      <c r="B423" s="247" t="s">
        <v>30</v>
      </c>
      <c r="C423" s="248"/>
      <c r="D423" s="249"/>
      <c r="E423" s="21"/>
      <c r="F423" s="44"/>
    </row>
    <row r="424" spans="1:6">
      <c r="A424" s="281" t="s">
        <v>27</v>
      </c>
      <c r="B424" s="307" t="s">
        <v>31</v>
      </c>
      <c r="C424" s="280"/>
      <c r="D424" s="271"/>
      <c r="E424" s="21"/>
      <c r="F424" s="44"/>
    </row>
    <row r="425" spans="1:6">
      <c r="A425" s="281"/>
      <c r="B425" s="307" t="s">
        <v>32</v>
      </c>
      <c r="C425" s="280"/>
      <c r="D425" s="271"/>
      <c r="E425" s="21"/>
      <c r="F425" s="44"/>
    </row>
    <row r="426" spans="1:6">
      <c r="A426" s="281" t="s">
        <v>13</v>
      </c>
      <c r="B426" s="307" t="s">
        <v>9</v>
      </c>
      <c r="C426" s="280"/>
      <c r="D426" s="271"/>
      <c r="E426" s="21"/>
      <c r="F426" s="44"/>
    </row>
    <row r="427" spans="1:6">
      <c r="A427" s="281"/>
      <c r="B427" s="307" t="s">
        <v>33</v>
      </c>
      <c r="C427" s="280"/>
      <c r="D427" s="271"/>
      <c r="E427" s="21"/>
      <c r="F427" s="44"/>
    </row>
    <row r="428" spans="1:6">
      <c r="A428" s="281"/>
      <c r="B428" s="307" t="s">
        <v>34</v>
      </c>
      <c r="C428" s="280"/>
      <c r="D428" s="271"/>
      <c r="E428" s="21"/>
      <c r="F428" s="44"/>
    </row>
    <row r="429" spans="1:6">
      <c r="A429" s="281"/>
      <c r="B429" s="307" t="s">
        <v>35</v>
      </c>
      <c r="C429" s="280"/>
      <c r="D429" s="271"/>
      <c r="E429" s="21"/>
      <c r="F429" s="44"/>
    </row>
    <row r="430" spans="1:6">
      <c r="A430" s="43" t="s">
        <v>8</v>
      </c>
      <c r="B430" s="244" t="s">
        <v>38</v>
      </c>
      <c r="C430" s="245"/>
      <c r="D430" s="246"/>
      <c r="E430" s="21"/>
      <c r="F430" s="44"/>
    </row>
    <row r="431" spans="1:6">
      <c r="A431" s="188" t="s">
        <v>39</v>
      </c>
      <c r="B431" s="188"/>
      <c r="C431" s="188"/>
      <c r="D431" s="188"/>
      <c r="E431" s="188"/>
      <c r="F431" s="188"/>
    </row>
    <row r="432" spans="1:6">
      <c r="A432" s="211" t="s">
        <v>41</v>
      </c>
      <c r="B432" s="307" t="s">
        <v>47</v>
      </c>
      <c r="C432" s="280"/>
      <c r="D432" s="271"/>
      <c r="E432" s="21"/>
      <c r="F432" s="44"/>
    </row>
    <row r="433" spans="1:6">
      <c r="A433" s="211"/>
      <c r="B433" s="307" t="s">
        <v>48</v>
      </c>
      <c r="C433" s="280"/>
      <c r="D433" s="271"/>
      <c r="E433" s="21"/>
      <c r="F433" s="44"/>
    </row>
    <row r="434" spans="1:6">
      <c r="A434" s="211"/>
      <c r="B434" s="307" t="s">
        <v>49</v>
      </c>
      <c r="C434" s="280"/>
      <c r="D434" s="271"/>
      <c r="E434" s="21"/>
      <c r="F434" s="44"/>
    </row>
    <row r="435" spans="1:6">
      <c r="A435" s="211"/>
      <c r="B435" s="307" t="s">
        <v>50</v>
      </c>
      <c r="C435" s="280"/>
      <c r="D435" s="271"/>
      <c r="E435" s="21"/>
      <c r="F435" s="44"/>
    </row>
    <row r="436" spans="1:6">
      <c r="A436" s="211"/>
      <c r="B436" s="307" t="s">
        <v>51</v>
      </c>
      <c r="C436" s="280"/>
      <c r="D436" s="271"/>
      <c r="E436" s="21"/>
      <c r="F436" s="44"/>
    </row>
    <row r="437" spans="1:6">
      <c r="A437" s="211"/>
      <c r="B437" s="270" t="s">
        <v>52</v>
      </c>
      <c r="C437" s="279"/>
      <c r="D437" s="278"/>
      <c r="E437" s="21"/>
      <c r="F437" s="44"/>
    </row>
    <row r="438" spans="1:6">
      <c r="A438" s="211"/>
      <c r="B438" s="307" t="s">
        <v>12</v>
      </c>
      <c r="C438" s="280"/>
      <c r="D438" s="271"/>
      <c r="E438" s="21">
        <v>6</v>
      </c>
      <c r="F438" s="44">
        <f>180*E438</f>
        <v>1080</v>
      </c>
    </row>
    <row r="439" spans="1:6">
      <c r="A439" s="211"/>
      <c r="B439" s="247" t="s">
        <v>8</v>
      </c>
      <c r="C439" s="248"/>
      <c r="D439" s="249"/>
      <c r="E439" s="21">
        <v>7</v>
      </c>
      <c r="F439" s="44">
        <f>900*E439</f>
        <v>6300</v>
      </c>
    </row>
    <row r="440" spans="1:6">
      <c r="A440" s="211" t="s">
        <v>42</v>
      </c>
      <c r="B440" s="307" t="s">
        <v>53</v>
      </c>
      <c r="C440" s="280"/>
      <c r="D440" s="271"/>
      <c r="E440" s="21"/>
      <c r="F440" s="44"/>
    </row>
    <row r="441" spans="1:6">
      <c r="A441" s="211"/>
      <c r="B441" s="307" t="s">
        <v>54</v>
      </c>
      <c r="C441" s="280"/>
      <c r="D441" s="271"/>
      <c r="E441" s="21"/>
      <c r="F441" s="44"/>
    </row>
    <row r="442" spans="1:6">
      <c r="A442" s="211"/>
      <c r="B442" s="307" t="s">
        <v>55</v>
      </c>
      <c r="C442" s="280"/>
      <c r="D442" s="271"/>
      <c r="E442" s="21">
        <v>3</v>
      </c>
      <c r="F442" s="44">
        <f>60*E442</f>
        <v>180</v>
      </c>
    </row>
    <row r="443" spans="1:6">
      <c r="A443" s="211"/>
      <c r="B443" s="307" t="s">
        <v>34</v>
      </c>
      <c r="C443" s="280"/>
      <c r="D443" s="271"/>
      <c r="E443" s="21"/>
      <c r="F443" s="44"/>
    </row>
    <row r="444" spans="1:6">
      <c r="A444" s="211"/>
      <c r="B444" s="307" t="s">
        <v>56</v>
      </c>
      <c r="C444" s="280"/>
      <c r="D444" s="271"/>
      <c r="E444" s="21"/>
      <c r="F444" s="44"/>
    </row>
    <row r="445" spans="1:6">
      <c r="A445" s="211"/>
      <c r="B445" s="307" t="s">
        <v>57</v>
      </c>
      <c r="C445" s="280"/>
      <c r="D445" s="271"/>
      <c r="E445" s="21"/>
      <c r="F445" s="44"/>
    </row>
    <row r="446" spans="1:6">
      <c r="A446" s="211"/>
      <c r="B446" s="307" t="s">
        <v>58</v>
      </c>
      <c r="C446" s="280"/>
      <c r="D446" s="271"/>
      <c r="E446" s="21"/>
      <c r="F446" s="44"/>
    </row>
    <row r="447" spans="1:6">
      <c r="A447" s="211" t="s">
        <v>43</v>
      </c>
      <c r="B447" s="307" t="s">
        <v>36</v>
      </c>
      <c r="C447" s="280"/>
      <c r="D447" s="271"/>
      <c r="E447" s="21"/>
      <c r="F447" s="44"/>
    </row>
    <row r="448" spans="1:6">
      <c r="A448" s="211"/>
      <c r="B448" s="307" t="s">
        <v>59</v>
      </c>
      <c r="C448" s="280"/>
      <c r="D448" s="271"/>
      <c r="E448" s="21"/>
      <c r="F448" s="44"/>
    </row>
    <row r="449" spans="1:6">
      <c r="A449" s="211"/>
      <c r="B449" s="307" t="s">
        <v>37</v>
      </c>
      <c r="C449" s="280"/>
      <c r="D449" s="271"/>
      <c r="E449" s="21"/>
      <c r="F449" s="44"/>
    </row>
    <row r="450" spans="1:6">
      <c r="A450" s="211"/>
      <c r="B450" s="307" t="s">
        <v>60</v>
      </c>
      <c r="C450" s="280"/>
      <c r="D450" s="271"/>
      <c r="E450" s="21"/>
      <c r="F450" s="44"/>
    </row>
    <row r="451" spans="1:6">
      <c r="A451" s="211"/>
      <c r="B451" s="307" t="s">
        <v>61</v>
      </c>
      <c r="C451" s="280"/>
      <c r="D451" s="271"/>
      <c r="E451" s="21"/>
      <c r="F451" s="44"/>
    </row>
    <row r="452" spans="1:6" ht="28.8">
      <c r="A452" s="25" t="s">
        <v>44</v>
      </c>
      <c r="B452" s="314" t="s">
        <v>62</v>
      </c>
      <c r="C452" s="208"/>
      <c r="D452" s="209"/>
      <c r="E452" s="21"/>
      <c r="F452" s="44"/>
    </row>
    <row r="453" spans="1:6">
      <c r="A453" s="211" t="s">
        <v>45</v>
      </c>
      <c r="B453" s="307" t="s">
        <v>63</v>
      </c>
      <c r="C453" s="280"/>
      <c r="D453" s="271"/>
      <c r="E453" s="21"/>
      <c r="F453" s="44"/>
    </row>
    <row r="454" spans="1:6">
      <c r="A454" s="211"/>
      <c r="B454" s="307" t="s">
        <v>64</v>
      </c>
      <c r="C454" s="280"/>
      <c r="D454" s="271"/>
      <c r="E454" s="21"/>
      <c r="F454" s="44"/>
    </row>
    <row r="455" spans="1:6">
      <c r="A455" s="211"/>
      <c r="B455" s="307" t="s">
        <v>65</v>
      </c>
      <c r="C455" s="280"/>
      <c r="D455" s="271"/>
      <c r="E455" s="21">
        <v>5</v>
      </c>
      <c r="F455" s="44">
        <f>180*E455</f>
        <v>900</v>
      </c>
    </row>
    <row r="456" spans="1:6">
      <c r="A456" s="211"/>
      <c r="B456" s="307" t="s">
        <v>66</v>
      </c>
      <c r="C456" s="280"/>
      <c r="D456" s="271"/>
      <c r="E456" s="21"/>
      <c r="F456" s="44"/>
    </row>
    <row r="457" spans="1:6">
      <c r="A457" s="211"/>
      <c r="B457" s="307" t="s">
        <v>67</v>
      </c>
      <c r="C457" s="280"/>
      <c r="D457" s="271"/>
      <c r="E457" s="21">
        <v>8</v>
      </c>
      <c r="F457" s="44">
        <f>E457*180</f>
        <v>1440</v>
      </c>
    </row>
    <row r="458" spans="1:6">
      <c r="A458" s="211"/>
      <c r="B458" s="307" t="s">
        <v>68</v>
      </c>
      <c r="C458" s="280"/>
      <c r="D458" s="271"/>
      <c r="E458" s="21">
        <v>5</v>
      </c>
      <c r="F458" s="44">
        <f>E458*180</f>
        <v>900</v>
      </c>
    </row>
    <row r="459" spans="1:6">
      <c r="A459" s="211" t="s">
        <v>46</v>
      </c>
      <c r="B459" s="307" t="s">
        <v>69</v>
      </c>
      <c r="C459" s="280"/>
      <c r="D459" s="271"/>
      <c r="E459" s="21"/>
      <c r="F459" s="44"/>
    </row>
    <row r="460" spans="1:6">
      <c r="A460" s="211"/>
      <c r="B460" s="307" t="s">
        <v>70</v>
      </c>
      <c r="C460" s="280"/>
      <c r="D460" s="271"/>
      <c r="E460" s="21"/>
      <c r="F460" s="44"/>
    </row>
    <row r="461" spans="1:6">
      <c r="A461" s="188" t="s">
        <v>71</v>
      </c>
      <c r="B461" s="188"/>
      <c r="C461" s="188"/>
      <c r="D461" s="188"/>
      <c r="E461" s="188"/>
      <c r="F461" s="188"/>
    </row>
    <row r="462" spans="1:6">
      <c r="A462" s="211" t="s">
        <v>72</v>
      </c>
      <c r="B462" s="307" t="s">
        <v>54</v>
      </c>
      <c r="C462" s="280"/>
      <c r="D462" s="271"/>
      <c r="E462" s="42"/>
      <c r="F462" s="44"/>
    </row>
    <row r="463" spans="1:6">
      <c r="A463" s="211"/>
      <c r="B463" s="307" t="s">
        <v>55</v>
      </c>
      <c r="C463" s="280"/>
      <c r="D463" s="271"/>
      <c r="E463" s="42"/>
      <c r="F463" s="44"/>
    </row>
    <row r="464" spans="1:6">
      <c r="A464" s="211"/>
      <c r="B464" s="307" t="s">
        <v>64</v>
      </c>
      <c r="C464" s="280"/>
      <c r="D464" s="271"/>
      <c r="E464" s="42"/>
      <c r="F464" s="44"/>
    </row>
    <row r="465" spans="1:6">
      <c r="A465" s="211"/>
      <c r="B465" s="307" t="s">
        <v>66</v>
      </c>
      <c r="C465" s="280"/>
      <c r="D465" s="271"/>
      <c r="E465" s="42"/>
      <c r="F465" s="44"/>
    </row>
    <row r="466" spans="1:6">
      <c r="A466" s="316" t="s">
        <v>73</v>
      </c>
      <c r="B466" s="314" t="s">
        <v>74</v>
      </c>
      <c r="C466" s="208"/>
      <c r="D466" s="209"/>
      <c r="E466" s="42"/>
      <c r="F466" s="44"/>
    </row>
    <row r="467" spans="1:6">
      <c r="A467" s="317"/>
      <c r="B467" s="314" t="s">
        <v>75</v>
      </c>
      <c r="C467" s="208"/>
      <c r="D467" s="209"/>
      <c r="E467" s="42"/>
      <c r="F467" s="44"/>
    </row>
    <row r="468" spans="1:6">
      <c r="A468" s="318"/>
      <c r="B468" s="244" t="s">
        <v>76</v>
      </c>
      <c r="C468" s="245"/>
      <c r="D468" s="246"/>
      <c r="E468" s="46"/>
      <c r="F468" s="44"/>
    </row>
    <row r="469" spans="1:6">
      <c r="A469" s="241" t="s">
        <v>77</v>
      </c>
      <c r="B469" s="241"/>
      <c r="C469" s="241"/>
      <c r="D469" s="241"/>
      <c r="E469" s="241"/>
      <c r="F469" s="241"/>
    </row>
    <row r="470" spans="1:6">
      <c r="A470" s="211" t="s">
        <v>78</v>
      </c>
      <c r="B470" s="307" t="s">
        <v>83</v>
      </c>
      <c r="C470" s="280"/>
      <c r="D470" s="271"/>
      <c r="E470" s="21"/>
      <c r="F470" s="44"/>
    </row>
    <row r="471" spans="1:6">
      <c r="A471" s="211"/>
      <c r="B471" s="307" t="s">
        <v>15</v>
      </c>
      <c r="C471" s="280"/>
      <c r="D471" s="271"/>
      <c r="E471" s="21"/>
      <c r="F471" s="44"/>
    </row>
    <row r="472" spans="1:6">
      <c r="A472" s="211"/>
      <c r="B472" s="307" t="s">
        <v>84</v>
      </c>
      <c r="C472" s="280"/>
      <c r="D472" s="271"/>
      <c r="E472" s="21"/>
      <c r="F472" s="44"/>
    </row>
    <row r="473" spans="1:6">
      <c r="A473" s="211"/>
      <c r="B473" s="307" t="s">
        <v>85</v>
      </c>
      <c r="C473" s="280"/>
      <c r="D473" s="271"/>
      <c r="E473" s="21">
        <v>13</v>
      </c>
      <c r="F473" s="44">
        <f>E473*55</f>
        <v>715</v>
      </c>
    </row>
    <row r="474" spans="1:6">
      <c r="A474" s="211"/>
      <c r="B474" s="307" t="s">
        <v>86</v>
      </c>
      <c r="C474" s="280"/>
      <c r="D474" s="271"/>
      <c r="E474" s="21"/>
      <c r="F474" s="44"/>
    </row>
    <row r="475" spans="1:6">
      <c r="A475" s="211"/>
      <c r="B475" s="307" t="s">
        <v>87</v>
      </c>
      <c r="C475" s="280"/>
      <c r="D475" s="271"/>
      <c r="E475" s="21"/>
      <c r="F475" s="44"/>
    </row>
    <row r="476" spans="1:6">
      <c r="A476" s="211"/>
      <c r="B476" s="307" t="s">
        <v>88</v>
      </c>
      <c r="C476" s="280"/>
      <c r="D476" s="271"/>
      <c r="E476" s="21"/>
      <c r="F476" s="44"/>
    </row>
    <row r="477" spans="1:6">
      <c r="A477" s="211" t="s">
        <v>79</v>
      </c>
      <c r="B477" s="307" t="s">
        <v>89</v>
      </c>
      <c r="C477" s="280"/>
      <c r="D477" s="271"/>
      <c r="E477" s="21">
        <v>3</v>
      </c>
      <c r="F477" s="44">
        <f>E477*180</f>
        <v>540</v>
      </c>
    </row>
    <row r="478" spans="1:6">
      <c r="A478" s="211"/>
      <c r="B478" s="307" t="s">
        <v>90</v>
      </c>
      <c r="C478" s="280"/>
      <c r="D478" s="271"/>
      <c r="E478" s="21"/>
      <c r="F478" s="44"/>
    </row>
    <row r="479" spans="1:6">
      <c r="A479" s="211"/>
      <c r="B479" s="307" t="s">
        <v>91</v>
      </c>
      <c r="C479" s="280"/>
      <c r="D479" s="271"/>
      <c r="E479" s="21">
        <v>2</v>
      </c>
      <c r="F479" s="44">
        <f>180*E479</f>
        <v>360</v>
      </c>
    </row>
    <row r="480" spans="1:6">
      <c r="A480" s="211"/>
      <c r="B480" s="307" t="s">
        <v>92</v>
      </c>
      <c r="C480" s="280"/>
      <c r="D480" s="271"/>
      <c r="E480" s="21"/>
      <c r="F480" s="44"/>
    </row>
    <row r="481" spans="1:6">
      <c r="A481" s="211"/>
      <c r="B481" s="307" t="s">
        <v>93</v>
      </c>
      <c r="C481" s="280"/>
      <c r="D481" s="271"/>
      <c r="E481" s="21"/>
      <c r="F481" s="44"/>
    </row>
    <row r="482" spans="1:6">
      <c r="A482" s="211"/>
      <c r="B482" s="307" t="s">
        <v>94</v>
      </c>
      <c r="C482" s="280"/>
      <c r="D482" s="271"/>
      <c r="E482" s="21"/>
      <c r="F482" s="44"/>
    </row>
    <row r="483" spans="1:6">
      <c r="A483" s="211"/>
      <c r="B483" s="307" t="s">
        <v>95</v>
      </c>
      <c r="C483" s="280"/>
      <c r="D483" s="271"/>
      <c r="E483" s="21"/>
      <c r="F483" s="44"/>
    </row>
    <row r="484" spans="1:6">
      <c r="A484" s="211"/>
      <c r="B484" s="307" t="s">
        <v>96</v>
      </c>
      <c r="C484" s="280"/>
      <c r="D484" s="271"/>
      <c r="E484" s="21"/>
      <c r="F484" s="44"/>
    </row>
    <row r="485" spans="1:6">
      <c r="A485" s="211"/>
      <c r="B485" s="307" t="s">
        <v>97</v>
      </c>
      <c r="C485" s="280"/>
      <c r="D485" s="271"/>
      <c r="E485" s="21">
        <v>1</v>
      </c>
      <c r="F485" s="44">
        <v>180</v>
      </c>
    </row>
    <row r="486" spans="1:6">
      <c r="A486" s="211"/>
      <c r="B486" s="307" t="s">
        <v>98</v>
      </c>
      <c r="C486" s="280"/>
      <c r="D486" s="271"/>
      <c r="E486" s="21"/>
      <c r="F486" s="44"/>
    </row>
    <row r="487" spans="1:6">
      <c r="A487" s="211"/>
      <c r="B487" s="307" t="s">
        <v>99</v>
      </c>
      <c r="C487" s="280"/>
      <c r="D487" s="271"/>
      <c r="E487" s="21"/>
      <c r="F487" s="44"/>
    </row>
    <row r="488" spans="1:6">
      <c r="A488" s="211"/>
      <c r="B488" s="307" t="s">
        <v>100</v>
      </c>
      <c r="C488" s="280"/>
      <c r="D488" s="271"/>
      <c r="E488" s="21">
        <v>1</v>
      </c>
      <c r="F488" s="44">
        <v>180</v>
      </c>
    </row>
    <row r="489" spans="1:6">
      <c r="A489" s="39" t="s">
        <v>80</v>
      </c>
      <c r="B489" s="262" t="s">
        <v>101</v>
      </c>
      <c r="C489" s="319"/>
      <c r="D489" s="263"/>
      <c r="E489" s="21">
        <v>1</v>
      </c>
      <c r="F489" s="44">
        <v>900</v>
      </c>
    </row>
    <row r="490" spans="1:6">
      <c r="A490" s="211" t="s">
        <v>81</v>
      </c>
      <c r="B490" s="314" t="s">
        <v>102</v>
      </c>
      <c r="C490" s="208"/>
      <c r="D490" s="209"/>
      <c r="E490" s="21"/>
      <c r="F490" s="44"/>
    </row>
    <row r="491" spans="1:6">
      <c r="A491" s="211"/>
      <c r="B491" s="207" t="s">
        <v>113</v>
      </c>
      <c r="C491" s="294"/>
      <c r="D491" s="274"/>
      <c r="E491" s="21">
        <v>1</v>
      </c>
      <c r="F491" s="44">
        <v>665</v>
      </c>
    </row>
    <row r="492" spans="1:6">
      <c r="A492" s="233"/>
      <c r="B492" s="207" t="s">
        <v>110</v>
      </c>
      <c r="C492" s="294"/>
      <c r="D492" s="274"/>
      <c r="E492" s="44"/>
      <c r="F492" s="44"/>
    </row>
    <row r="493" spans="1:6">
      <c r="A493" s="211" t="s">
        <v>82</v>
      </c>
      <c r="B493" s="307" t="s">
        <v>103</v>
      </c>
      <c r="C493" s="280"/>
      <c r="D493" s="271"/>
      <c r="E493" s="21"/>
      <c r="F493" s="44"/>
    </row>
    <row r="494" spans="1:6">
      <c r="A494" s="211"/>
      <c r="B494" s="307" t="s">
        <v>104</v>
      </c>
      <c r="C494" s="280"/>
      <c r="D494" s="271"/>
      <c r="E494" s="21"/>
      <c r="F494" s="44"/>
    </row>
    <row r="495" spans="1:6">
      <c r="A495" s="211"/>
      <c r="B495" s="307" t="s">
        <v>105</v>
      </c>
      <c r="C495" s="280"/>
      <c r="D495" s="271"/>
      <c r="E495" s="21"/>
      <c r="F495" s="44"/>
    </row>
    <row r="496" spans="1:6">
      <c r="A496" s="211"/>
      <c r="B496" s="207" t="s">
        <v>115</v>
      </c>
      <c r="C496" s="208"/>
      <c r="D496" s="209"/>
      <c r="E496" s="21"/>
      <c r="F496" s="44"/>
    </row>
    <row r="497" spans="1:6">
      <c r="A497" s="211"/>
      <c r="B497" s="307" t="s">
        <v>106</v>
      </c>
      <c r="C497" s="280"/>
      <c r="D497" s="271"/>
      <c r="E497" s="21"/>
      <c r="F497" s="44"/>
    </row>
    <row r="498" spans="1:6">
      <c r="A498" s="211"/>
      <c r="B498" s="307" t="s">
        <v>107</v>
      </c>
      <c r="C498" s="280"/>
      <c r="D498" s="271"/>
      <c r="E498" s="21"/>
      <c r="F498" s="44"/>
    </row>
    <row r="499" spans="1:6">
      <c r="F499" s="10">
        <f>SUM(F411:F498)</f>
        <v>17400</v>
      </c>
    </row>
    <row r="503" spans="1:6">
      <c r="A503" s="340" t="s">
        <v>116</v>
      </c>
      <c r="B503" s="340"/>
      <c r="C503" s="340"/>
      <c r="D503" s="340"/>
      <c r="E503" s="340"/>
      <c r="F503" s="340"/>
    </row>
    <row r="504" spans="1:6">
      <c r="A504" s="19"/>
      <c r="B504" s="19"/>
      <c r="C504" s="19" t="s">
        <v>118</v>
      </c>
      <c r="D504" s="37" t="s">
        <v>127</v>
      </c>
      <c r="E504" s="6"/>
      <c r="F504" s="45"/>
    </row>
    <row r="505" spans="1:6">
      <c r="A505" s="1"/>
      <c r="B505" s="19"/>
      <c r="C505" s="19" t="s">
        <v>0</v>
      </c>
      <c r="D505" s="34">
        <f>2946*194*100</f>
        <v>57152400</v>
      </c>
      <c r="E505" s="6"/>
      <c r="F505" s="11"/>
    </row>
    <row r="506" spans="1:6">
      <c r="A506" s="19"/>
      <c r="B506" s="19"/>
      <c r="C506" s="19" t="s">
        <v>2</v>
      </c>
      <c r="D506" s="35">
        <f>D505*1/9</f>
        <v>6350266.666666667</v>
      </c>
      <c r="E506" s="6"/>
      <c r="F506" s="22"/>
    </row>
    <row r="507" spans="1:6">
      <c r="A507" s="7"/>
      <c r="B507" s="19"/>
      <c r="C507" s="19" t="s">
        <v>3</v>
      </c>
      <c r="D507" s="35">
        <f>SUM(D505:D506)</f>
        <v>63502666.666666664</v>
      </c>
      <c r="E507" s="6"/>
      <c r="F507" s="11"/>
    </row>
    <row r="508" spans="1:6">
      <c r="A508" s="7"/>
      <c r="B508" s="19"/>
      <c r="C508" s="19" t="s">
        <v>4</v>
      </c>
      <c r="D508" s="35">
        <f>D507*0.06</f>
        <v>3810159.9999999995</v>
      </c>
      <c r="E508" s="6"/>
      <c r="F508" s="11"/>
    </row>
    <row r="509" spans="1:6">
      <c r="A509" s="7"/>
      <c r="B509" s="19"/>
      <c r="C509" s="19" t="s">
        <v>5</v>
      </c>
      <c r="D509" s="36">
        <f>SUM(D507:D508)</f>
        <v>67312826.666666657</v>
      </c>
      <c r="E509" s="6"/>
      <c r="F509" s="11"/>
    </row>
    <row r="510" spans="1:6" ht="28.8">
      <c r="A510" s="41" t="s">
        <v>18</v>
      </c>
      <c r="B510" s="341" t="s">
        <v>6</v>
      </c>
      <c r="C510" s="342"/>
      <c r="D510" s="343"/>
      <c r="E510" s="40" t="s">
        <v>111</v>
      </c>
      <c r="F510" s="40" t="s">
        <v>112</v>
      </c>
    </row>
    <row r="511" spans="1:6">
      <c r="A511" s="189" t="s">
        <v>40</v>
      </c>
      <c r="B511" s="189"/>
      <c r="C511" s="189"/>
      <c r="D511" s="189"/>
      <c r="E511" s="189"/>
      <c r="F511" s="189"/>
    </row>
    <row r="512" spans="1:6">
      <c r="A512" s="281" t="s">
        <v>19</v>
      </c>
      <c r="B512" s="314" t="s">
        <v>20</v>
      </c>
      <c r="C512" s="208"/>
      <c r="D512" s="209"/>
      <c r="E512" s="42"/>
      <c r="F512" s="44"/>
    </row>
    <row r="513" spans="1:6">
      <c r="A513" s="281"/>
      <c r="B513" s="314" t="s">
        <v>21</v>
      </c>
      <c r="C513" s="208"/>
      <c r="D513" s="209"/>
      <c r="E513" s="42"/>
      <c r="F513" s="44"/>
    </row>
    <row r="514" spans="1:6">
      <c r="A514" s="281"/>
      <c r="B514" s="314" t="s">
        <v>22</v>
      </c>
      <c r="C514" s="208"/>
      <c r="D514" s="209"/>
      <c r="E514" s="42"/>
      <c r="F514" s="44"/>
    </row>
    <row r="515" spans="1:6">
      <c r="A515" s="281"/>
      <c r="B515" s="314" t="s">
        <v>23</v>
      </c>
      <c r="C515" s="208"/>
      <c r="D515" s="209"/>
      <c r="E515" s="42"/>
      <c r="F515" s="44"/>
    </row>
    <row r="516" spans="1:6">
      <c r="A516" s="281"/>
      <c r="B516" s="314" t="s">
        <v>12</v>
      </c>
      <c r="C516" s="208"/>
      <c r="D516" s="209"/>
      <c r="E516" s="42"/>
      <c r="F516" s="44"/>
    </row>
    <row r="517" spans="1:6">
      <c r="A517" s="281"/>
      <c r="B517" s="314" t="s">
        <v>24</v>
      </c>
      <c r="C517" s="208"/>
      <c r="D517" s="209"/>
      <c r="E517" s="42"/>
      <c r="F517" s="44"/>
    </row>
    <row r="518" spans="1:6">
      <c r="A518" s="281" t="s">
        <v>25</v>
      </c>
      <c r="B518" s="272" t="s">
        <v>17</v>
      </c>
      <c r="C518" s="297"/>
      <c r="D518" s="273"/>
      <c r="E518" s="21"/>
      <c r="F518" s="44"/>
    </row>
    <row r="519" spans="1:6">
      <c r="A519" s="281"/>
      <c r="B519" s="307" t="s">
        <v>16</v>
      </c>
      <c r="C519" s="280"/>
      <c r="D519" s="271"/>
      <c r="E519" s="21"/>
      <c r="F519" s="44"/>
    </row>
    <row r="520" spans="1:6">
      <c r="A520" s="281"/>
      <c r="B520" s="307" t="s">
        <v>28</v>
      </c>
      <c r="C520" s="280"/>
      <c r="D520" s="271"/>
      <c r="E520" s="21"/>
      <c r="F520" s="44"/>
    </row>
    <row r="521" spans="1:6">
      <c r="A521" s="281"/>
      <c r="B521" s="247" t="s">
        <v>11</v>
      </c>
      <c r="C521" s="248"/>
      <c r="D521" s="249"/>
      <c r="E521" s="21">
        <v>1</v>
      </c>
      <c r="F521" s="44">
        <v>2090</v>
      </c>
    </row>
    <row r="522" spans="1:6">
      <c r="A522" s="281"/>
      <c r="B522" s="247" t="s">
        <v>29</v>
      </c>
      <c r="C522" s="248"/>
      <c r="D522" s="249"/>
      <c r="E522" s="21"/>
      <c r="F522" s="44"/>
    </row>
    <row r="523" spans="1:6">
      <c r="A523" s="336" t="s">
        <v>26</v>
      </c>
      <c r="B523" s="337" t="s">
        <v>108</v>
      </c>
      <c r="C523" s="338"/>
      <c r="D523" s="339"/>
      <c r="E523" s="21"/>
      <c r="F523" s="44"/>
    </row>
    <row r="524" spans="1:6">
      <c r="A524" s="336"/>
      <c r="B524" s="247" t="s">
        <v>30</v>
      </c>
      <c r="C524" s="248"/>
      <c r="D524" s="249"/>
      <c r="E524" s="21"/>
      <c r="F524" s="44"/>
    </row>
    <row r="525" spans="1:6">
      <c r="A525" s="281" t="s">
        <v>27</v>
      </c>
      <c r="B525" s="307" t="s">
        <v>31</v>
      </c>
      <c r="C525" s="280"/>
      <c r="D525" s="271"/>
      <c r="E525" s="21"/>
      <c r="F525" s="44"/>
    </row>
    <row r="526" spans="1:6">
      <c r="A526" s="281"/>
      <c r="B526" s="307" t="s">
        <v>32</v>
      </c>
      <c r="C526" s="280"/>
      <c r="D526" s="271"/>
      <c r="E526" s="21"/>
      <c r="F526" s="44"/>
    </row>
    <row r="527" spans="1:6">
      <c r="A527" s="281" t="s">
        <v>13</v>
      </c>
      <c r="B527" s="307" t="s">
        <v>9</v>
      </c>
      <c r="C527" s="280"/>
      <c r="D527" s="271"/>
      <c r="E527" s="21"/>
      <c r="F527" s="44"/>
    </row>
    <row r="528" spans="1:6">
      <c r="A528" s="281"/>
      <c r="B528" s="307" t="s">
        <v>33</v>
      </c>
      <c r="C528" s="280"/>
      <c r="D528" s="271"/>
      <c r="E528" s="21"/>
      <c r="F528" s="44"/>
    </row>
    <row r="529" spans="1:6">
      <c r="A529" s="281"/>
      <c r="B529" s="307" t="s">
        <v>34</v>
      </c>
      <c r="C529" s="280"/>
      <c r="D529" s="271"/>
      <c r="E529" s="21"/>
      <c r="F529" s="44"/>
    </row>
    <row r="530" spans="1:6">
      <c r="A530" s="281"/>
      <c r="B530" s="307" t="s">
        <v>35</v>
      </c>
      <c r="C530" s="280"/>
      <c r="D530" s="271"/>
      <c r="E530" s="21"/>
      <c r="F530" s="44"/>
    </row>
    <row r="531" spans="1:6">
      <c r="A531" s="43" t="s">
        <v>8</v>
      </c>
      <c r="B531" s="244" t="s">
        <v>38</v>
      </c>
      <c r="C531" s="245"/>
      <c r="D531" s="246"/>
      <c r="E531" s="21"/>
      <c r="F531" s="44"/>
    </row>
    <row r="532" spans="1:6">
      <c r="A532" s="188" t="s">
        <v>39</v>
      </c>
      <c r="B532" s="188"/>
      <c r="C532" s="188"/>
      <c r="D532" s="188"/>
      <c r="E532" s="188"/>
      <c r="F532" s="188"/>
    </row>
    <row r="533" spans="1:6">
      <c r="A533" s="211" t="s">
        <v>41</v>
      </c>
      <c r="B533" s="307" t="s">
        <v>47</v>
      </c>
      <c r="C533" s="280"/>
      <c r="D533" s="271"/>
      <c r="E533" s="21"/>
      <c r="F533" s="44"/>
    </row>
    <row r="534" spans="1:6">
      <c r="A534" s="211"/>
      <c r="B534" s="307" t="s">
        <v>48</v>
      </c>
      <c r="C534" s="280"/>
      <c r="D534" s="271"/>
      <c r="E534" s="21"/>
      <c r="F534" s="44"/>
    </row>
    <row r="535" spans="1:6">
      <c r="A535" s="211"/>
      <c r="B535" s="307" t="s">
        <v>49</v>
      </c>
      <c r="C535" s="280"/>
      <c r="D535" s="271"/>
      <c r="E535" s="21"/>
      <c r="F535" s="44"/>
    </row>
    <row r="536" spans="1:6">
      <c r="A536" s="211"/>
      <c r="B536" s="307" t="s">
        <v>50</v>
      </c>
      <c r="C536" s="280"/>
      <c r="D536" s="271"/>
      <c r="E536" s="21"/>
      <c r="F536" s="44"/>
    </row>
    <row r="537" spans="1:6">
      <c r="A537" s="211"/>
      <c r="B537" s="307" t="s">
        <v>51</v>
      </c>
      <c r="C537" s="280"/>
      <c r="D537" s="271"/>
      <c r="E537" s="21"/>
      <c r="F537" s="44"/>
    </row>
    <row r="538" spans="1:6">
      <c r="A538" s="211"/>
      <c r="B538" s="270" t="s">
        <v>52</v>
      </c>
      <c r="C538" s="279"/>
      <c r="D538" s="278"/>
      <c r="E538" s="21"/>
      <c r="F538" s="44"/>
    </row>
    <row r="539" spans="1:6">
      <c r="A539" s="211"/>
      <c r="B539" s="307" t="s">
        <v>12</v>
      </c>
      <c r="C539" s="280"/>
      <c r="D539" s="271"/>
      <c r="E539" s="21"/>
      <c r="F539" s="44"/>
    </row>
    <row r="540" spans="1:6">
      <c r="A540" s="211"/>
      <c r="B540" s="247" t="s">
        <v>8</v>
      </c>
      <c r="C540" s="248"/>
      <c r="D540" s="249"/>
      <c r="E540" s="21">
        <v>10</v>
      </c>
      <c r="F540" s="44">
        <f>632*E540</f>
        <v>6320</v>
      </c>
    </row>
    <row r="541" spans="1:6">
      <c r="A541" s="211" t="s">
        <v>42</v>
      </c>
      <c r="B541" s="307" t="s">
        <v>53</v>
      </c>
      <c r="C541" s="280"/>
      <c r="D541" s="271"/>
      <c r="E541" s="21"/>
      <c r="F541" s="44"/>
    </row>
    <row r="542" spans="1:6">
      <c r="A542" s="211"/>
      <c r="B542" s="307" t="s">
        <v>54</v>
      </c>
      <c r="C542" s="280"/>
      <c r="D542" s="271"/>
      <c r="E542" s="21"/>
      <c r="F542" s="44"/>
    </row>
    <row r="543" spans="1:6">
      <c r="A543" s="211"/>
      <c r="B543" s="307" t="s">
        <v>55</v>
      </c>
      <c r="C543" s="280"/>
      <c r="D543" s="271"/>
      <c r="E543" s="21"/>
      <c r="F543" s="44"/>
    </row>
    <row r="544" spans="1:6">
      <c r="A544" s="211"/>
      <c r="B544" s="307" t="s">
        <v>34</v>
      </c>
      <c r="C544" s="280"/>
      <c r="D544" s="271"/>
      <c r="E544" s="21"/>
      <c r="F544" s="44"/>
    </row>
    <row r="545" spans="1:6">
      <c r="A545" s="211"/>
      <c r="B545" s="307" t="s">
        <v>56</v>
      </c>
      <c r="C545" s="280"/>
      <c r="D545" s="271"/>
      <c r="E545" s="21"/>
      <c r="F545" s="44"/>
    </row>
    <row r="546" spans="1:6">
      <c r="A546" s="211"/>
      <c r="B546" s="307" t="s">
        <v>57</v>
      </c>
      <c r="C546" s="280"/>
      <c r="D546" s="271"/>
      <c r="E546" s="21"/>
      <c r="F546" s="44"/>
    </row>
    <row r="547" spans="1:6">
      <c r="A547" s="211"/>
      <c r="B547" s="307" t="s">
        <v>58</v>
      </c>
      <c r="C547" s="280"/>
      <c r="D547" s="271"/>
      <c r="E547" s="21"/>
      <c r="F547" s="44"/>
    </row>
    <row r="548" spans="1:6">
      <c r="A548" s="211" t="s">
        <v>43</v>
      </c>
      <c r="B548" s="307" t="s">
        <v>36</v>
      </c>
      <c r="C548" s="280"/>
      <c r="D548" s="271"/>
      <c r="E548" s="21"/>
      <c r="F548" s="44"/>
    </row>
    <row r="549" spans="1:6">
      <c r="A549" s="211"/>
      <c r="B549" s="307" t="s">
        <v>59</v>
      </c>
      <c r="C549" s="280"/>
      <c r="D549" s="271"/>
      <c r="E549" s="21"/>
      <c r="F549" s="44"/>
    </row>
    <row r="550" spans="1:6">
      <c r="A550" s="211"/>
      <c r="B550" s="307" t="s">
        <v>37</v>
      </c>
      <c r="C550" s="280"/>
      <c r="D550" s="271"/>
      <c r="E550" s="21"/>
      <c r="F550" s="44"/>
    </row>
    <row r="551" spans="1:6">
      <c r="A551" s="211"/>
      <c r="B551" s="307" t="s">
        <v>60</v>
      </c>
      <c r="C551" s="280"/>
      <c r="D551" s="271"/>
      <c r="E551" s="21"/>
      <c r="F551" s="44"/>
    </row>
    <row r="552" spans="1:6">
      <c r="A552" s="211"/>
      <c r="B552" s="307" t="s">
        <v>61</v>
      </c>
      <c r="C552" s="280"/>
      <c r="D552" s="271"/>
      <c r="E552" s="21"/>
      <c r="F552" s="44"/>
    </row>
    <row r="553" spans="1:6" ht="28.8">
      <c r="A553" s="25" t="s">
        <v>44</v>
      </c>
      <c r="B553" s="314" t="s">
        <v>62</v>
      </c>
      <c r="C553" s="208"/>
      <c r="D553" s="209"/>
      <c r="E553" s="21"/>
      <c r="F553" s="44"/>
    </row>
    <row r="554" spans="1:6">
      <c r="A554" s="211" t="s">
        <v>45</v>
      </c>
      <c r="B554" s="307" t="s">
        <v>63</v>
      </c>
      <c r="C554" s="280"/>
      <c r="D554" s="271"/>
      <c r="E554" s="21"/>
      <c r="F554" s="44"/>
    </row>
    <row r="555" spans="1:6">
      <c r="A555" s="211"/>
      <c r="B555" s="307" t="s">
        <v>64</v>
      </c>
      <c r="C555" s="280"/>
      <c r="D555" s="271"/>
      <c r="E555" s="21"/>
      <c r="F555" s="44"/>
    </row>
    <row r="556" spans="1:6">
      <c r="A556" s="211"/>
      <c r="B556" s="307" t="s">
        <v>65</v>
      </c>
      <c r="C556" s="280"/>
      <c r="D556" s="271"/>
      <c r="E556" s="21"/>
      <c r="F556" s="44"/>
    </row>
    <row r="557" spans="1:6">
      <c r="A557" s="211"/>
      <c r="B557" s="307" t="s">
        <v>66</v>
      </c>
      <c r="C557" s="280"/>
      <c r="D557" s="271"/>
      <c r="E557" s="21"/>
      <c r="F557" s="44"/>
    </row>
    <row r="558" spans="1:6">
      <c r="A558" s="211"/>
      <c r="B558" s="307" t="s">
        <v>67</v>
      </c>
      <c r="C558" s="280"/>
      <c r="D558" s="271"/>
      <c r="E558" s="21"/>
      <c r="F558" s="44"/>
    </row>
    <row r="559" spans="1:6">
      <c r="A559" s="211"/>
      <c r="B559" s="307" t="s">
        <v>68</v>
      </c>
      <c r="C559" s="280"/>
      <c r="D559" s="271"/>
      <c r="E559" s="21"/>
      <c r="F559" s="44"/>
    </row>
    <row r="560" spans="1:6">
      <c r="A560" s="211" t="s">
        <v>46</v>
      </c>
      <c r="B560" s="307" t="s">
        <v>69</v>
      </c>
      <c r="C560" s="280"/>
      <c r="D560" s="271"/>
      <c r="E560" s="21">
        <v>10</v>
      </c>
      <c r="F560" s="44">
        <f>1800</f>
        <v>1800</v>
      </c>
    </row>
    <row r="561" spans="1:6">
      <c r="A561" s="211"/>
      <c r="B561" s="307" t="s">
        <v>70</v>
      </c>
      <c r="C561" s="280"/>
      <c r="D561" s="271"/>
      <c r="E561" s="21"/>
      <c r="F561" s="44"/>
    </row>
    <row r="562" spans="1:6">
      <c r="A562" s="188" t="s">
        <v>71</v>
      </c>
      <c r="B562" s="188"/>
      <c r="C562" s="188"/>
      <c r="D562" s="188"/>
      <c r="E562" s="188"/>
      <c r="F562" s="188"/>
    </row>
    <row r="563" spans="1:6">
      <c r="A563" s="211" t="s">
        <v>72</v>
      </c>
      <c r="B563" s="307" t="s">
        <v>54</v>
      </c>
      <c r="C563" s="280"/>
      <c r="D563" s="271"/>
      <c r="E563" s="42"/>
      <c r="F563" s="44"/>
    </row>
    <row r="564" spans="1:6">
      <c r="A564" s="211"/>
      <c r="B564" s="307" t="s">
        <v>55</v>
      </c>
      <c r="C564" s="280"/>
      <c r="D564" s="271"/>
      <c r="E564" s="42"/>
      <c r="F564" s="44"/>
    </row>
    <row r="565" spans="1:6">
      <c r="A565" s="211"/>
      <c r="B565" s="307" t="s">
        <v>64</v>
      </c>
      <c r="C565" s="280"/>
      <c r="D565" s="271"/>
      <c r="E565" s="42"/>
      <c r="F565" s="44"/>
    </row>
    <row r="566" spans="1:6">
      <c r="A566" s="211"/>
      <c r="B566" s="307" t="s">
        <v>66</v>
      </c>
      <c r="C566" s="280"/>
      <c r="D566" s="271"/>
      <c r="E566" s="42"/>
      <c r="F566" s="44"/>
    </row>
    <row r="567" spans="1:6">
      <c r="A567" s="316" t="s">
        <v>73</v>
      </c>
      <c r="B567" s="314" t="s">
        <v>74</v>
      </c>
      <c r="C567" s="208"/>
      <c r="D567" s="209"/>
      <c r="E567" s="42"/>
      <c r="F567" s="44"/>
    </row>
    <row r="568" spans="1:6">
      <c r="A568" s="317"/>
      <c r="B568" s="314" t="s">
        <v>75</v>
      </c>
      <c r="C568" s="208"/>
      <c r="D568" s="209"/>
      <c r="E568" s="42"/>
      <c r="F568" s="44"/>
    </row>
    <row r="569" spans="1:6">
      <c r="A569" s="318"/>
      <c r="B569" s="244" t="s">
        <v>76</v>
      </c>
      <c r="C569" s="245"/>
      <c r="D569" s="246"/>
      <c r="E569" s="46"/>
      <c r="F569" s="44"/>
    </row>
    <row r="570" spans="1:6">
      <c r="A570" s="241" t="s">
        <v>77</v>
      </c>
      <c r="B570" s="241"/>
      <c r="C570" s="241"/>
      <c r="D570" s="241"/>
      <c r="E570" s="241"/>
      <c r="F570" s="241"/>
    </row>
    <row r="571" spans="1:6">
      <c r="A571" s="211" t="s">
        <v>78</v>
      </c>
      <c r="B571" s="307" t="s">
        <v>83</v>
      </c>
      <c r="C571" s="280"/>
      <c r="D571" s="271"/>
      <c r="E571" s="21"/>
      <c r="F571" s="44"/>
    </row>
    <row r="572" spans="1:6">
      <c r="A572" s="211"/>
      <c r="B572" s="307" t="s">
        <v>15</v>
      </c>
      <c r="C572" s="280"/>
      <c r="D572" s="271"/>
      <c r="E572" s="21"/>
      <c r="F572" s="44"/>
    </row>
    <row r="573" spans="1:6">
      <c r="A573" s="211"/>
      <c r="B573" s="307" t="s">
        <v>84</v>
      </c>
      <c r="C573" s="280"/>
      <c r="D573" s="271"/>
      <c r="E573" s="21"/>
      <c r="F573" s="44"/>
    </row>
    <row r="574" spans="1:6">
      <c r="A574" s="211"/>
      <c r="B574" s="307" t="s">
        <v>85</v>
      </c>
      <c r="C574" s="280"/>
      <c r="D574" s="271"/>
      <c r="E574" s="21">
        <v>20</v>
      </c>
      <c r="F574" s="44">
        <f>E574*55</f>
        <v>1100</v>
      </c>
    </row>
    <row r="575" spans="1:6">
      <c r="A575" s="211"/>
      <c r="B575" s="307" t="s">
        <v>86</v>
      </c>
      <c r="C575" s="280"/>
      <c r="D575" s="271"/>
      <c r="E575" s="21"/>
      <c r="F575" s="44"/>
    </row>
    <row r="576" spans="1:6">
      <c r="A576" s="211"/>
      <c r="B576" s="307" t="s">
        <v>87</v>
      </c>
      <c r="C576" s="280"/>
      <c r="D576" s="271"/>
      <c r="E576" s="21"/>
      <c r="F576" s="44"/>
    </row>
    <row r="577" spans="1:6">
      <c r="A577" s="211"/>
      <c r="B577" s="307" t="s">
        <v>88</v>
      </c>
      <c r="C577" s="280"/>
      <c r="D577" s="271"/>
      <c r="E577" s="21"/>
      <c r="F577" s="44"/>
    </row>
    <row r="578" spans="1:6">
      <c r="A578" s="211" t="s">
        <v>79</v>
      </c>
      <c r="B578" s="307" t="s">
        <v>89</v>
      </c>
      <c r="C578" s="280"/>
      <c r="D578" s="271"/>
      <c r="E578" s="21">
        <v>6</v>
      </c>
      <c r="F578" s="44">
        <f>E578*90</f>
        <v>540</v>
      </c>
    </row>
    <row r="579" spans="1:6">
      <c r="A579" s="211"/>
      <c r="B579" s="307" t="s">
        <v>90</v>
      </c>
      <c r="C579" s="280"/>
      <c r="D579" s="271"/>
      <c r="E579" s="21"/>
      <c r="F579" s="44"/>
    </row>
    <row r="580" spans="1:6">
      <c r="A580" s="211"/>
      <c r="B580" s="307" t="s">
        <v>91</v>
      </c>
      <c r="C580" s="280"/>
      <c r="D580" s="271"/>
      <c r="E580" s="21">
        <v>1</v>
      </c>
      <c r="F580" s="44">
        <v>90</v>
      </c>
    </row>
    <row r="581" spans="1:6">
      <c r="A581" s="211"/>
      <c r="B581" s="307" t="s">
        <v>92</v>
      </c>
      <c r="C581" s="280"/>
      <c r="D581" s="271"/>
      <c r="E581" s="21"/>
      <c r="F581" s="44"/>
    </row>
    <row r="582" spans="1:6">
      <c r="A582" s="211"/>
      <c r="B582" s="307" t="s">
        <v>93</v>
      </c>
      <c r="C582" s="280"/>
      <c r="D582" s="271"/>
      <c r="E582" s="21"/>
      <c r="F582" s="44"/>
    </row>
    <row r="583" spans="1:6">
      <c r="A583" s="211"/>
      <c r="B583" s="307" t="s">
        <v>94</v>
      </c>
      <c r="C583" s="280"/>
      <c r="D583" s="271"/>
      <c r="E583" s="21"/>
      <c r="F583" s="44"/>
    </row>
    <row r="584" spans="1:6">
      <c r="A584" s="211"/>
      <c r="B584" s="307" t="s">
        <v>95</v>
      </c>
      <c r="C584" s="280"/>
      <c r="D584" s="271"/>
      <c r="E584" s="21"/>
      <c r="F584" s="44"/>
    </row>
    <row r="585" spans="1:6">
      <c r="A585" s="211"/>
      <c r="B585" s="307" t="s">
        <v>96</v>
      </c>
      <c r="C585" s="280"/>
      <c r="D585" s="271"/>
      <c r="E585" s="21"/>
      <c r="F585" s="44"/>
    </row>
    <row r="586" spans="1:6">
      <c r="A586" s="211"/>
      <c r="B586" s="307" t="s">
        <v>97</v>
      </c>
      <c r="C586" s="280"/>
      <c r="D586" s="271"/>
      <c r="E586" s="21"/>
      <c r="F586" s="44"/>
    </row>
    <row r="587" spans="1:6">
      <c r="A587" s="211"/>
      <c r="B587" s="307" t="s">
        <v>98</v>
      </c>
      <c r="C587" s="280"/>
      <c r="D587" s="271"/>
      <c r="E587" s="21"/>
      <c r="F587" s="44"/>
    </row>
    <row r="588" spans="1:6">
      <c r="A588" s="211"/>
      <c r="B588" s="307" t="s">
        <v>99</v>
      </c>
      <c r="C588" s="280"/>
      <c r="D588" s="271"/>
      <c r="E588" s="21"/>
      <c r="F588" s="44"/>
    </row>
    <row r="589" spans="1:6">
      <c r="A589" s="211"/>
      <c r="B589" s="307" t="s">
        <v>100</v>
      </c>
      <c r="C589" s="280"/>
      <c r="D589" s="271"/>
      <c r="E589" s="21"/>
      <c r="F589" s="44"/>
    </row>
    <row r="590" spans="1:6">
      <c r="A590" s="39" t="s">
        <v>80</v>
      </c>
      <c r="B590" s="262" t="s">
        <v>101</v>
      </c>
      <c r="C590" s="319"/>
      <c r="D590" s="263"/>
      <c r="E590" s="21">
        <v>1</v>
      </c>
      <c r="F590" s="44">
        <v>180</v>
      </c>
    </row>
    <row r="591" spans="1:6">
      <c r="A591" s="211" t="s">
        <v>81</v>
      </c>
      <c r="B591" s="314" t="s">
        <v>102</v>
      </c>
      <c r="C591" s="208"/>
      <c r="D591" s="209"/>
      <c r="E591" s="21"/>
      <c r="F591" s="44"/>
    </row>
    <row r="592" spans="1:6">
      <c r="A592" s="211"/>
      <c r="B592" s="207" t="s">
        <v>113</v>
      </c>
      <c r="C592" s="294"/>
      <c r="D592" s="274"/>
      <c r="E592" s="21">
        <v>6</v>
      </c>
      <c r="F592" s="44">
        <f>E592*180</f>
        <v>1080</v>
      </c>
    </row>
    <row r="593" spans="1:6">
      <c r="A593" s="233"/>
      <c r="B593" s="207" t="s">
        <v>110</v>
      </c>
      <c r="C593" s="294"/>
      <c r="D593" s="274"/>
      <c r="E593" s="44"/>
      <c r="F593" s="44"/>
    </row>
    <row r="594" spans="1:6">
      <c r="A594" s="211" t="s">
        <v>82</v>
      </c>
      <c r="B594" s="307" t="s">
        <v>103</v>
      </c>
      <c r="C594" s="280"/>
      <c r="D594" s="271"/>
      <c r="E594" s="21"/>
      <c r="F594" s="44"/>
    </row>
    <row r="595" spans="1:6">
      <c r="A595" s="211"/>
      <c r="B595" s="307" t="s">
        <v>104</v>
      </c>
      <c r="C595" s="280"/>
      <c r="D595" s="271"/>
      <c r="E595" s="21"/>
      <c r="F595" s="44"/>
    </row>
    <row r="596" spans="1:6">
      <c r="A596" s="211"/>
      <c r="B596" s="307" t="s">
        <v>105</v>
      </c>
      <c r="C596" s="280"/>
      <c r="D596" s="271"/>
      <c r="E596" s="21"/>
      <c r="F596" s="44"/>
    </row>
    <row r="597" spans="1:6">
      <c r="A597" s="211"/>
      <c r="B597" s="207" t="s">
        <v>115</v>
      </c>
      <c r="C597" s="208"/>
      <c r="D597" s="209"/>
      <c r="E597" s="21"/>
      <c r="F597" s="44"/>
    </row>
    <row r="598" spans="1:6">
      <c r="A598" s="211"/>
      <c r="B598" s="307" t="s">
        <v>106</v>
      </c>
      <c r="C598" s="280"/>
      <c r="D598" s="271"/>
      <c r="E598" s="21"/>
      <c r="F598" s="44"/>
    </row>
    <row r="599" spans="1:6">
      <c r="A599" s="211"/>
      <c r="B599" s="307" t="s">
        <v>107</v>
      </c>
      <c r="C599" s="280"/>
      <c r="D599" s="271"/>
      <c r="E599" s="21"/>
      <c r="F599" s="44"/>
    </row>
    <row r="600" spans="1:6">
      <c r="F600" s="10">
        <f>SUM(F512:F599)</f>
        <v>13200</v>
      </c>
    </row>
    <row r="604" spans="1:6">
      <c r="A604" s="340" t="s">
        <v>116</v>
      </c>
      <c r="B604" s="340"/>
      <c r="C604" s="340"/>
      <c r="D604" s="340"/>
      <c r="E604" s="340"/>
      <c r="F604" s="340"/>
    </row>
    <row r="605" spans="1:6">
      <c r="A605" s="19"/>
      <c r="B605" s="19"/>
      <c r="C605" s="19" t="s">
        <v>118</v>
      </c>
      <c r="D605" s="37" t="s">
        <v>128</v>
      </c>
      <c r="E605" s="6"/>
      <c r="F605" s="45"/>
    </row>
    <row r="606" spans="1:6">
      <c r="A606" s="1"/>
      <c r="B606" s="19"/>
      <c r="C606" s="19" t="s">
        <v>0</v>
      </c>
      <c r="D606" s="34">
        <f>Buhchang!B3*194*100</f>
        <v>4015800</v>
      </c>
      <c r="E606" s="6"/>
      <c r="F606" s="11"/>
    </row>
    <row r="607" spans="1:6">
      <c r="A607" s="19"/>
      <c r="B607" s="19"/>
      <c r="C607" s="19" t="s">
        <v>2</v>
      </c>
      <c r="D607" s="35">
        <f>D606*1/9</f>
        <v>446200</v>
      </c>
      <c r="E607" s="6"/>
      <c r="F607" s="22"/>
    </row>
    <row r="608" spans="1:6">
      <c r="A608" s="7"/>
      <c r="B608" s="19"/>
      <c r="C608" s="19" t="s">
        <v>3</v>
      </c>
      <c r="D608" s="35">
        <f>SUM(D606:D607)</f>
        <v>4462000</v>
      </c>
      <c r="E608" s="6"/>
      <c r="F608" s="11"/>
    </row>
    <row r="609" spans="1:6">
      <c r="A609" s="7"/>
      <c r="B609" s="19"/>
      <c r="C609" s="19" t="s">
        <v>4</v>
      </c>
      <c r="D609" s="35">
        <f>D608*0.06</f>
        <v>267720</v>
      </c>
      <c r="E609" s="6"/>
      <c r="F609" s="11"/>
    </row>
    <row r="610" spans="1:6">
      <c r="A610" s="7"/>
      <c r="B610" s="19"/>
      <c r="C610" s="19" t="s">
        <v>5</v>
      </c>
      <c r="D610" s="36">
        <f>SUM(D608:D609)</f>
        <v>4729720</v>
      </c>
      <c r="E610" s="6"/>
      <c r="F610" s="11"/>
    </row>
    <row r="611" spans="1:6" ht="28.8">
      <c r="A611" s="41" t="s">
        <v>18</v>
      </c>
      <c r="B611" s="341" t="s">
        <v>6</v>
      </c>
      <c r="C611" s="342"/>
      <c r="D611" s="343"/>
      <c r="E611" s="40" t="s">
        <v>111</v>
      </c>
      <c r="F611" s="40" t="s">
        <v>112</v>
      </c>
    </row>
    <row r="612" spans="1:6">
      <c r="A612" s="189" t="s">
        <v>40</v>
      </c>
      <c r="B612" s="189"/>
      <c r="C612" s="189"/>
      <c r="D612" s="189"/>
      <c r="E612" s="189"/>
      <c r="F612" s="189"/>
    </row>
    <row r="613" spans="1:6">
      <c r="A613" s="281" t="s">
        <v>19</v>
      </c>
      <c r="B613" s="314" t="s">
        <v>20</v>
      </c>
      <c r="C613" s="208"/>
      <c r="D613" s="209"/>
      <c r="E613" s="42"/>
      <c r="F613" s="44"/>
    </row>
    <row r="614" spans="1:6">
      <c r="A614" s="281"/>
      <c r="B614" s="314" t="s">
        <v>21</v>
      </c>
      <c r="C614" s="208"/>
      <c r="D614" s="209"/>
      <c r="E614" s="42"/>
      <c r="F614" s="44"/>
    </row>
    <row r="615" spans="1:6">
      <c r="A615" s="281"/>
      <c r="B615" s="314" t="s">
        <v>22</v>
      </c>
      <c r="C615" s="208"/>
      <c r="D615" s="209"/>
      <c r="E615" s="42"/>
      <c r="F615" s="44"/>
    </row>
    <row r="616" spans="1:6">
      <c r="A616" s="281"/>
      <c r="B616" s="314" t="s">
        <v>23</v>
      </c>
      <c r="C616" s="208"/>
      <c r="D616" s="209"/>
      <c r="E616" s="42"/>
      <c r="F616" s="44"/>
    </row>
    <row r="617" spans="1:6">
      <c r="A617" s="281"/>
      <c r="B617" s="314" t="s">
        <v>12</v>
      </c>
      <c r="C617" s="208"/>
      <c r="D617" s="209"/>
      <c r="E617" s="42"/>
      <c r="F617" s="44"/>
    </row>
    <row r="618" spans="1:6">
      <c r="A618" s="281"/>
      <c r="B618" s="314" t="s">
        <v>24</v>
      </c>
      <c r="C618" s="208"/>
      <c r="D618" s="209"/>
      <c r="E618" s="42"/>
      <c r="F618" s="44"/>
    </row>
    <row r="619" spans="1:6">
      <c r="A619" s="281" t="s">
        <v>25</v>
      </c>
      <c r="B619" s="272" t="s">
        <v>17</v>
      </c>
      <c r="C619" s="297"/>
      <c r="D619" s="273"/>
      <c r="E619" s="21"/>
      <c r="F619" s="44"/>
    </row>
    <row r="620" spans="1:6">
      <c r="A620" s="281"/>
      <c r="B620" s="307" t="s">
        <v>16</v>
      </c>
      <c r="C620" s="280"/>
      <c r="D620" s="271"/>
      <c r="E620" s="21"/>
      <c r="F620" s="44"/>
    </row>
    <row r="621" spans="1:6">
      <c r="A621" s="281"/>
      <c r="B621" s="307" t="s">
        <v>28</v>
      </c>
      <c r="C621" s="280"/>
      <c r="D621" s="271"/>
      <c r="E621" s="21"/>
      <c r="F621" s="44"/>
    </row>
    <row r="622" spans="1:6">
      <c r="A622" s="281"/>
      <c r="B622" s="247" t="s">
        <v>11</v>
      </c>
      <c r="C622" s="248"/>
      <c r="D622" s="249"/>
      <c r="E622" s="21">
        <v>2</v>
      </c>
      <c r="F622" s="44">
        <f>450*E622</f>
        <v>900</v>
      </c>
    </row>
    <row r="623" spans="1:6">
      <c r="A623" s="281"/>
      <c r="B623" s="247" t="s">
        <v>29</v>
      </c>
      <c r="C623" s="248"/>
      <c r="D623" s="249"/>
      <c r="E623" s="21"/>
      <c r="F623" s="44"/>
    </row>
    <row r="624" spans="1:6">
      <c r="A624" s="336" t="s">
        <v>26</v>
      </c>
      <c r="B624" s="337" t="s">
        <v>108</v>
      </c>
      <c r="C624" s="338"/>
      <c r="D624" s="339"/>
      <c r="E624" s="21"/>
      <c r="F624" s="44"/>
    </row>
    <row r="625" spans="1:6">
      <c r="A625" s="336"/>
      <c r="B625" s="247" t="s">
        <v>30</v>
      </c>
      <c r="C625" s="248"/>
      <c r="D625" s="249"/>
      <c r="E625" s="21">
        <v>1</v>
      </c>
      <c r="F625" s="44">
        <v>2725</v>
      </c>
    </row>
    <row r="626" spans="1:6">
      <c r="A626" s="281" t="s">
        <v>27</v>
      </c>
      <c r="B626" s="307" t="s">
        <v>31</v>
      </c>
      <c r="C626" s="280"/>
      <c r="D626" s="271"/>
      <c r="E626" s="21"/>
      <c r="F626" s="44"/>
    </row>
    <row r="627" spans="1:6">
      <c r="A627" s="281"/>
      <c r="B627" s="307" t="s">
        <v>32</v>
      </c>
      <c r="C627" s="280"/>
      <c r="D627" s="271"/>
      <c r="E627" s="21"/>
      <c r="F627" s="44"/>
    </row>
    <row r="628" spans="1:6">
      <c r="A628" s="281" t="s">
        <v>13</v>
      </c>
      <c r="B628" s="307" t="s">
        <v>9</v>
      </c>
      <c r="C628" s="280"/>
      <c r="D628" s="271"/>
      <c r="E628" s="21"/>
      <c r="F628" s="44"/>
    </row>
    <row r="629" spans="1:6">
      <c r="A629" s="281"/>
      <c r="B629" s="307" t="s">
        <v>33</v>
      </c>
      <c r="C629" s="280"/>
      <c r="D629" s="271"/>
      <c r="E629" s="21"/>
      <c r="F629" s="44"/>
    </row>
    <row r="630" spans="1:6">
      <c r="A630" s="281"/>
      <c r="B630" s="307" t="s">
        <v>34</v>
      </c>
      <c r="C630" s="280"/>
      <c r="D630" s="271"/>
      <c r="E630" s="21"/>
      <c r="F630" s="44"/>
    </row>
    <row r="631" spans="1:6">
      <c r="A631" s="281"/>
      <c r="B631" s="307" t="s">
        <v>35</v>
      </c>
      <c r="C631" s="280"/>
      <c r="D631" s="271"/>
      <c r="E631" s="21"/>
      <c r="F631" s="44"/>
    </row>
    <row r="632" spans="1:6">
      <c r="A632" s="43" t="s">
        <v>8</v>
      </c>
      <c r="B632" s="244" t="s">
        <v>38</v>
      </c>
      <c r="C632" s="245"/>
      <c r="D632" s="246"/>
      <c r="E632" s="21">
        <v>6</v>
      </c>
      <c r="F632" s="44">
        <f>E632*900</f>
        <v>5400</v>
      </c>
    </row>
    <row r="633" spans="1:6">
      <c r="A633" s="188" t="s">
        <v>39</v>
      </c>
      <c r="B633" s="188"/>
      <c r="C633" s="188"/>
      <c r="D633" s="188"/>
      <c r="E633" s="188"/>
      <c r="F633" s="188"/>
    </row>
    <row r="634" spans="1:6">
      <c r="A634" s="211" t="s">
        <v>41</v>
      </c>
      <c r="B634" s="307" t="s">
        <v>47</v>
      </c>
      <c r="C634" s="280"/>
      <c r="D634" s="271"/>
      <c r="E634" s="21"/>
      <c r="F634" s="44"/>
    </row>
    <row r="635" spans="1:6">
      <c r="A635" s="211"/>
      <c r="B635" s="307" t="s">
        <v>48</v>
      </c>
      <c r="C635" s="280"/>
      <c r="D635" s="271"/>
      <c r="E635" s="21"/>
      <c r="F635" s="44"/>
    </row>
    <row r="636" spans="1:6">
      <c r="A636" s="211"/>
      <c r="B636" s="307" t="s">
        <v>49</v>
      </c>
      <c r="C636" s="280"/>
      <c r="D636" s="271"/>
      <c r="E636" s="21"/>
      <c r="F636" s="44"/>
    </row>
    <row r="637" spans="1:6">
      <c r="A637" s="211"/>
      <c r="B637" s="307" t="s">
        <v>50</v>
      </c>
      <c r="C637" s="280"/>
      <c r="D637" s="271"/>
      <c r="E637" s="21"/>
      <c r="F637" s="44"/>
    </row>
    <row r="638" spans="1:6">
      <c r="A638" s="211"/>
      <c r="B638" s="307" t="s">
        <v>51</v>
      </c>
      <c r="C638" s="280"/>
      <c r="D638" s="271"/>
      <c r="E638" s="21"/>
      <c r="F638" s="44"/>
    </row>
    <row r="639" spans="1:6">
      <c r="A639" s="211"/>
      <c r="B639" s="270" t="s">
        <v>52</v>
      </c>
      <c r="C639" s="279"/>
      <c r="D639" s="278"/>
      <c r="E639" s="21"/>
      <c r="F639" s="44"/>
    </row>
    <row r="640" spans="1:6">
      <c r="A640" s="211"/>
      <c r="B640" s="307" t="s">
        <v>12</v>
      </c>
      <c r="C640" s="280"/>
      <c r="D640" s="271"/>
      <c r="E640" s="21"/>
      <c r="F640" s="44"/>
    </row>
    <row r="641" spans="1:6">
      <c r="A641" s="211"/>
      <c r="B641" s="247" t="s">
        <v>8</v>
      </c>
      <c r="C641" s="248"/>
      <c r="D641" s="249"/>
      <c r="E641" s="21"/>
      <c r="F641" s="44"/>
    </row>
    <row r="642" spans="1:6">
      <c r="A642" s="211" t="s">
        <v>42</v>
      </c>
      <c r="B642" s="307" t="s">
        <v>53</v>
      </c>
      <c r="C642" s="280"/>
      <c r="D642" s="271"/>
      <c r="E642" s="21"/>
      <c r="F642" s="44"/>
    </row>
    <row r="643" spans="1:6">
      <c r="A643" s="211"/>
      <c r="B643" s="307" t="s">
        <v>54</v>
      </c>
      <c r="C643" s="280"/>
      <c r="D643" s="271"/>
      <c r="E643" s="21"/>
      <c r="F643" s="44"/>
    </row>
    <row r="644" spans="1:6">
      <c r="A644" s="211"/>
      <c r="B644" s="307" t="s">
        <v>55</v>
      </c>
      <c r="C644" s="280"/>
      <c r="D644" s="271"/>
      <c r="E644" s="21"/>
      <c r="F644" s="44"/>
    </row>
    <row r="645" spans="1:6">
      <c r="A645" s="211"/>
      <c r="B645" s="307" t="s">
        <v>34</v>
      </c>
      <c r="C645" s="280"/>
      <c r="D645" s="271"/>
      <c r="E645" s="21"/>
      <c r="F645" s="44"/>
    </row>
    <row r="646" spans="1:6">
      <c r="A646" s="211"/>
      <c r="B646" s="307" t="s">
        <v>56</v>
      </c>
      <c r="C646" s="280"/>
      <c r="D646" s="271"/>
      <c r="E646" s="21"/>
      <c r="F646" s="44"/>
    </row>
    <row r="647" spans="1:6">
      <c r="A647" s="211"/>
      <c r="B647" s="307" t="s">
        <v>57</v>
      </c>
      <c r="C647" s="280"/>
      <c r="D647" s="271"/>
      <c r="E647" s="21"/>
      <c r="F647" s="44"/>
    </row>
    <row r="648" spans="1:6">
      <c r="A648" s="211"/>
      <c r="B648" s="307" t="s">
        <v>58</v>
      </c>
      <c r="C648" s="280"/>
      <c r="D648" s="271"/>
      <c r="E648" s="21"/>
      <c r="F648" s="44"/>
    </row>
    <row r="649" spans="1:6">
      <c r="A649" s="211" t="s">
        <v>43</v>
      </c>
      <c r="B649" s="307" t="s">
        <v>36</v>
      </c>
      <c r="C649" s="280"/>
      <c r="D649" s="271"/>
      <c r="E649" s="21"/>
      <c r="F649" s="44"/>
    </row>
    <row r="650" spans="1:6">
      <c r="A650" s="211"/>
      <c r="B650" s="307" t="s">
        <v>59</v>
      </c>
      <c r="C650" s="280"/>
      <c r="D650" s="271"/>
      <c r="E650" s="21"/>
      <c r="F650" s="44"/>
    </row>
    <row r="651" spans="1:6">
      <c r="A651" s="211"/>
      <c r="B651" s="307" t="s">
        <v>37</v>
      </c>
      <c r="C651" s="280"/>
      <c r="D651" s="271"/>
      <c r="E651" s="21"/>
      <c r="F651" s="44"/>
    </row>
    <row r="652" spans="1:6">
      <c r="A652" s="211"/>
      <c r="B652" s="307" t="s">
        <v>60</v>
      </c>
      <c r="C652" s="280"/>
      <c r="D652" s="271"/>
      <c r="E652" s="21"/>
      <c r="F652" s="44"/>
    </row>
    <row r="653" spans="1:6">
      <c r="A653" s="211"/>
      <c r="B653" s="307" t="s">
        <v>61</v>
      </c>
      <c r="C653" s="280"/>
      <c r="D653" s="271"/>
      <c r="E653" s="21"/>
      <c r="F653" s="44"/>
    </row>
    <row r="654" spans="1:6" ht="28.8">
      <c r="A654" s="25" t="s">
        <v>44</v>
      </c>
      <c r="B654" s="314" t="s">
        <v>62</v>
      </c>
      <c r="C654" s="208"/>
      <c r="D654" s="209"/>
      <c r="E654" s="21"/>
      <c r="F654" s="44"/>
    </row>
    <row r="655" spans="1:6">
      <c r="A655" s="211" t="s">
        <v>45</v>
      </c>
      <c r="B655" s="307" t="s">
        <v>63</v>
      </c>
      <c r="C655" s="280"/>
      <c r="D655" s="271"/>
      <c r="E655" s="21"/>
      <c r="F655" s="44"/>
    </row>
    <row r="656" spans="1:6">
      <c r="A656" s="211"/>
      <c r="B656" s="307" t="s">
        <v>64</v>
      </c>
      <c r="C656" s="280"/>
      <c r="D656" s="271"/>
      <c r="E656" s="21"/>
      <c r="F656" s="44"/>
    </row>
    <row r="657" spans="1:6">
      <c r="A657" s="211"/>
      <c r="B657" s="307" t="s">
        <v>65</v>
      </c>
      <c r="C657" s="280"/>
      <c r="D657" s="271"/>
      <c r="E657" s="21"/>
      <c r="F657" s="44"/>
    </row>
    <row r="658" spans="1:6">
      <c r="A658" s="211"/>
      <c r="B658" s="307" t="s">
        <v>66</v>
      </c>
      <c r="C658" s="280"/>
      <c r="D658" s="271"/>
      <c r="E658" s="21"/>
      <c r="F658" s="44"/>
    </row>
    <row r="659" spans="1:6">
      <c r="A659" s="211"/>
      <c r="B659" s="307" t="s">
        <v>67</v>
      </c>
      <c r="C659" s="280"/>
      <c r="D659" s="271"/>
      <c r="E659" s="21">
        <v>8</v>
      </c>
      <c r="F659" s="44">
        <f>E659*180</f>
        <v>1440</v>
      </c>
    </row>
    <row r="660" spans="1:6">
      <c r="A660" s="211"/>
      <c r="B660" s="307" t="s">
        <v>68</v>
      </c>
      <c r="C660" s="280"/>
      <c r="D660" s="271"/>
      <c r="E660" s="21">
        <v>5</v>
      </c>
      <c r="F660" s="44">
        <f>E660*180</f>
        <v>900</v>
      </c>
    </row>
    <row r="661" spans="1:6">
      <c r="A661" s="211" t="s">
        <v>46</v>
      </c>
      <c r="B661" s="307" t="s">
        <v>69</v>
      </c>
      <c r="C661" s="280"/>
      <c r="D661" s="271"/>
      <c r="E661" s="21">
        <v>6</v>
      </c>
      <c r="F661" s="44">
        <f>450*E661</f>
        <v>2700</v>
      </c>
    </row>
    <row r="662" spans="1:6">
      <c r="A662" s="211"/>
      <c r="B662" s="307" t="s">
        <v>70</v>
      </c>
      <c r="C662" s="280"/>
      <c r="D662" s="271"/>
      <c r="E662" s="21"/>
      <c r="F662" s="44"/>
    </row>
    <row r="663" spans="1:6">
      <c r="A663" s="188" t="s">
        <v>71</v>
      </c>
      <c r="B663" s="188"/>
      <c r="C663" s="188"/>
      <c r="D663" s="188"/>
      <c r="E663" s="188"/>
      <c r="F663" s="188"/>
    </row>
    <row r="664" spans="1:6">
      <c r="A664" s="211" t="s">
        <v>72</v>
      </c>
      <c r="B664" s="307" t="s">
        <v>54</v>
      </c>
      <c r="C664" s="280"/>
      <c r="D664" s="271"/>
      <c r="E664" s="42"/>
      <c r="F664" s="44"/>
    </row>
    <row r="665" spans="1:6">
      <c r="A665" s="211"/>
      <c r="B665" s="307" t="s">
        <v>55</v>
      </c>
      <c r="C665" s="280"/>
      <c r="D665" s="271"/>
      <c r="E665" s="42"/>
      <c r="F665" s="44"/>
    </row>
    <row r="666" spans="1:6">
      <c r="A666" s="211"/>
      <c r="B666" s="307" t="s">
        <v>64</v>
      </c>
      <c r="C666" s="280"/>
      <c r="D666" s="271"/>
      <c r="E666" s="42"/>
      <c r="F666" s="44"/>
    </row>
    <row r="667" spans="1:6">
      <c r="A667" s="211"/>
      <c r="B667" s="307" t="s">
        <v>66</v>
      </c>
      <c r="C667" s="280"/>
      <c r="D667" s="271"/>
      <c r="E667" s="42"/>
      <c r="F667" s="44"/>
    </row>
    <row r="668" spans="1:6">
      <c r="A668" s="316" t="s">
        <v>73</v>
      </c>
      <c r="B668" s="314" t="s">
        <v>74</v>
      </c>
      <c r="C668" s="208"/>
      <c r="D668" s="209"/>
      <c r="E668" s="42"/>
      <c r="F668" s="44"/>
    </row>
    <row r="669" spans="1:6">
      <c r="A669" s="317"/>
      <c r="B669" s="314" t="s">
        <v>75</v>
      </c>
      <c r="C669" s="208"/>
      <c r="D669" s="209"/>
      <c r="E669" s="42"/>
      <c r="F669" s="44"/>
    </row>
    <row r="670" spans="1:6">
      <c r="A670" s="318"/>
      <c r="B670" s="244" t="s">
        <v>76</v>
      </c>
      <c r="C670" s="245"/>
      <c r="D670" s="246"/>
      <c r="E670" s="46"/>
      <c r="F670" s="44"/>
    </row>
    <row r="671" spans="1:6">
      <c r="A671" s="241" t="s">
        <v>77</v>
      </c>
      <c r="B671" s="241"/>
      <c r="C671" s="241"/>
      <c r="D671" s="241"/>
      <c r="E671" s="241"/>
      <c r="F671" s="241"/>
    </row>
    <row r="672" spans="1:6">
      <c r="A672" s="211" t="s">
        <v>78</v>
      </c>
      <c r="B672" s="307" t="s">
        <v>83</v>
      </c>
      <c r="C672" s="280"/>
      <c r="D672" s="271"/>
      <c r="E672" s="21"/>
      <c r="F672" s="44"/>
    </row>
    <row r="673" spans="1:6">
      <c r="A673" s="211"/>
      <c r="B673" s="307" t="s">
        <v>15</v>
      </c>
      <c r="C673" s="280"/>
      <c r="D673" s="271"/>
      <c r="E673" s="21"/>
      <c r="F673" s="44"/>
    </row>
    <row r="674" spans="1:6">
      <c r="A674" s="211"/>
      <c r="B674" s="307" t="s">
        <v>84</v>
      </c>
      <c r="C674" s="280"/>
      <c r="D674" s="271"/>
      <c r="E674" s="21"/>
      <c r="F674" s="44"/>
    </row>
    <row r="675" spans="1:6">
      <c r="A675" s="211"/>
      <c r="B675" s="307" t="s">
        <v>85</v>
      </c>
      <c r="C675" s="280"/>
      <c r="D675" s="271"/>
      <c r="E675" s="21">
        <v>15</v>
      </c>
      <c r="F675" s="44">
        <v>835</v>
      </c>
    </row>
    <row r="676" spans="1:6">
      <c r="A676" s="211"/>
      <c r="B676" s="307" t="s">
        <v>86</v>
      </c>
      <c r="C676" s="280"/>
      <c r="D676" s="271"/>
      <c r="E676" s="21"/>
      <c r="F676" s="44"/>
    </row>
    <row r="677" spans="1:6">
      <c r="A677" s="211"/>
      <c r="B677" s="307" t="s">
        <v>87</v>
      </c>
      <c r="C677" s="280"/>
      <c r="D677" s="271"/>
      <c r="E677" s="21"/>
      <c r="F677" s="44"/>
    </row>
    <row r="678" spans="1:6">
      <c r="A678" s="211"/>
      <c r="B678" s="307" t="s">
        <v>88</v>
      </c>
      <c r="C678" s="280"/>
      <c r="D678" s="271"/>
      <c r="E678" s="21"/>
      <c r="F678" s="44"/>
    </row>
    <row r="679" spans="1:6">
      <c r="A679" s="211" t="s">
        <v>79</v>
      </c>
      <c r="B679" s="307" t="s">
        <v>89</v>
      </c>
      <c r="C679" s="280"/>
      <c r="D679" s="271"/>
      <c r="E679" s="21">
        <v>1</v>
      </c>
      <c r="F679" s="44">
        <v>900</v>
      </c>
    </row>
    <row r="680" spans="1:6">
      <c r="A680" s="211"/>
      <c r="B680" s="307" t="s">
        <v>90</v>
      </c>
      <c r="C680" s="280"/>
      <c r="D680" s="271"/>
      <c r="E680" s="21"/>
      <c r="F680" s="44"/>
    </row>
    <row r="681" spans="1:6">
      <c r="A681" s="211"/>
      <c r="B681" s="307" t="s">
        <v>91</v>
      </c>
      <c r="C681" s="280"/>
      <c r="D681" s="271"/>
      <c r="E681" s="21"/>
      <c r="F681" s="44"/>
    </row>
    <row r="682" spans="1:6">
      <c r="A682" s="211"/>
      <c r="B682" s="307" t="s">
        <v>92</v>
      </c>
      <c r="C682" s="280"/>
      <c r="D682" s="271"/>
      <c r="E682" s="21"/>
      <c r="F682" s="44"/>
    </row>
    <row r="683" spans="1:6">
      <c r="A683" s="211"/>
      <c r="B683" s="307" t="s">
        <v>93</v>
      </c>
      <c r="C683" s="280"/>
      <c r="D683" s="271"/>
      <c r="E683" s="21"/>
      <c r="F683" s="44"/>
    </row>
    <row r="684" spans="1:6">
      <c r="A684" s="211"/>
      <c r="B684" s="307" t="s">
        <v>94</v>
      </c>
      <c r="C684" s="280"/>
      <c r="D684" s="271"/>
      <c r="E684" s="21"/>
      <c r="F684" s="44"/>
    </row>
    <row r="685" spans="1:6">
      <c r="A685" s="211"/>
      <c r="B685" s="307" t="s">
        <v>95</v>
      </c>
      <c r="C685" s="280"/>
      <c r="D685" s="271"/>
      <c r="E685" s="21"/>
      <c r="F685" s="44"/>
    </row>
    <row r="686" spans="1:6">
      <c r="A686" s="211"/>
      <c r="B686" s="307" t="s">
        <v>96</v>
      </c>
      <c r="C686" s="280"/>
      <c r="D686" s="271"/>
      <c r="E686" s="21"/>
      <c r="F686" s="44"/>
    </row>
    <row r="687" spans="1:6">
      <c r="A687" s="211"/>
      <c r="B687" s="307" t="s">
        <v>97</v>
      </c>
      <c r="C687" s="280"/>
      <c r="D687" s="271"/>
      <c r="E687" s="21"/>
      <c r="F687" s="44"/>
    </row>
    <row r="688" spans="1:6">
      <c r="A688" s="211"/>
      <c r="B688" s="307" t="s">
        <v>98</v>
      </c>
      <c r="C688" s="280"/>
      <c r="D688" s="271"/>
      <c r="E688" s="21"/>
      <c r="F688" s="44"/>
    </row>
    <row r="689" spans="1:6">
      <c r="A689" s="211"/>
      <c r="B689" s="307" t="s">
        <v>99</v>
      </c>
      <c r="C689" s="280"/>
      <c r="D689" s="271"/>
      <c r="E689" s="21"/>
      <c r="F689" s="44"/>
    </row>
    <row r="690" spans="1:6">
      <c r="A690" s="211"/>
      <c r="B690" s="307" t="s">
        <v>100</v>
      </c>
      <c r="C690" s="280"/>
      <c r="D690" s="271"/>
      <c r="E690" s="21"/>
      <c r="F690" s="44"/>
    </row>
    <row r="691" spans="1:6">
      <c r="A691" s="39" t="s">
        <v>80</v>
      </c>
      <c r="B691" s="262" t="s">
        <v>101</v>
      </c>
      <c r="C691" s="319"/>
      <c r="D691" s="263"/>
      <c r="E691" s="21"/>
      <c r="F691" s="44"/>
    </row>
    <row r="692" spans="1:6">
      <c r="A692" s="211" t="s">
        <v>81</v>
      </c>
      <c r="B692" s="314" t="s">
        <v>102</v>
      </c>
      <c r="C692" s="208"/>
      <c r="D692" s="209"/>
      <c r="E692" s="21">
        <v>1</v>
      </c>
      <c r="F692" s="44">
        <v>900</v>
      </c>
    </row>
    <row r="693" spans="1:6">
      <c r="A693" s="211"/>
      <c r="B693" s="207" t="s">
        <v>113</v>
      </c>
      <c r="C693" s="294"/>
      <c r="D693" s="274"/>
      <c r="E693" s="21">
        <v>3</v>
      </c>
      <c r="F693" s="44">
        <f>900*E693</f>
        <v>2700</v>
      </c>
    </row>
    <row r="694" spans="1:6">
      <c r="A694" s="233"/>
      <c r="B694" s="207" t="s">
        <v>110</v>
      </c>
      <c r="C694" s="294"/>
      <c r="D694" s="274"/>
      <c r="E694" s="44"/>
      <c r="F694" s="44"/>
    </row>
    <row r="695" spans="1:6">
      <c r="A695" s="211" t="s">
        <v>82</v>
      </c>
      <c r="B695" s="307" t="s">
        <v>103</v>
      </c>
      <c r="C695" s="280"/>
      <c r="D695" s="271"/>
      <c r="E695" s="21"/>
      <c r="F695" s="44"/>
    </row>
    <row r="696" spans="1:6">
      <c r="A696" s="211"/>
      <c r="B696" s="307" t="s">
        <v>104</v>
      </c>
      <c r="C696" s="280"/>
      <c r="D696" s="271"/>
      <c r="E696" s="21"/>
      <c r="F696" s="44"/>
    </row>
    <row r="697" spans="1:6">
      <c r="A697" s="211"/>
      <c r="B697" s="307" t="s">
        <v>105</v>
      </c>
      <c r="C697" s="280"/>
      <c r="D697" s="271"/>
      <c r="E697" s="21"/>
      <c r="F697" s="44"/>
    </row>
    <row r="698" spans="1:6">
      <c r="A698" s="211"/>
      <c r="B698" s="207" t="s">
        <v>115</v>
      </c>
      <c r="C698" s="208"/>
      <c r="D698" s="209"/>
      <c r="E698" s="21"/>
      <c r="F698" s="44"/>
    </row>
    <row r="699" spans="1:6">
      <c r="A699" s="211"/>
      <c r="B699" s="307" t="s">
        <v>106</v>
      </c>
      <c r="C699" s="280"/>
      <c r="D699" s="271"/>
      <c r="E699" s="21"/>
      <c r="F699" s="44"/>
    </row>
    <row r="700" spans="1:6">
      <c r="A700" s="211"/>
      <c r="B700" s="307" t="s">
        <v>107</v>
      </c>
      <c r="C700" s="280"/>
      <c r="D700" s="271"/>
      <c r="E700" s="21"/>
      <c r="F700" s="44"/>
    </row>
    <row r="701" spans="1:6">
      <c r="F701" s="10">
        <f>SUM(F613:F700)</f>
        <v>19400</v>
      </c>
    </row>
    <row r="705" spans="1:6">
      <c r="A705" s="340" t="s">
        <v>116</v>
      </c>
      <c r="B705" s="340"/>
      <c r="C705" s="340"/>
      <c r="D705" s="340"/>
      <c r="E705" s="340"/>
      <c r="F705" s="340"/>
    </row>
    <row r="706" spans="1:6">
      <c r="A706" s="19"/>
      <c r="B706" s="19"/>
      <c r="C706" s="19" t="s">
        <v>118</v>
      </c>
      <c r="D706" s="37" t="s">
        <v>129</v>
      </c>
      <c r="E706" s="6"/>
      <c r="F706" s="45"/>
    </row>
    <row r="707" spans="1:6">
      <c r="A707" s="1"/>
      <c r="B707" s="19"/>
      <c r="C707" s="19" t="s">
        <v>0</v>
      </c>
      <c r="D707" s="34">
        <f>Bukvannei!B3*194*100</f>
        <v>2425000</v>
      </c>
      <c r="E707" s="6"/>
      <c r="F707" s="11"/>
    </row>
    <row r="708" spans="1:6">
      <c r="A708" s="19"/>
      <c r="B708" s="19"/>
      <c r="C708" s="19" t="s">
        <v>2</v>
      </c>
      <c r="D708" s="35">
        <f>D707*1/9</f>
        <v>269444.44444444444</v>
      </c>
      <c r="E708" s="6"/>
      <c r="F708" s="22"/>
    </row>
    <row r="709" spans="1:6">
      <c r="A709" s="7"/>
      <c r="B709" s="19"/>
      <c r="C709" s="19" t="s">
        <v>3</v>
      </c>
      <c r="D709" s="35">
        <f>SUM(D707:D708)</f>
        <v>2694444.4444444445</v>
      </c>
      <c r="E709" s="6"/>
      <c r="F709" s="11"/>
    </row>
    <row r="710" spans="1:6">
      <c r="A710" s="7"/>
      <c r="B710" s="19"/>
      <c r="C710" s="19" t="s">
        <v>4</v>
      </c>
      <c r="D710" s="35">
        <f>D709*0.06</f>
        <v>161666.66666666666</v>
      </c>
      <c r="E710" s="6"/>
      <c r="F710" s="11"/>
    </row>
    <row r="711" spans="1:6">
      <c r="A711" s="7"/>
      <c r="B711" s="19"/>
      <c r="C711" s="19" t="s">
        <v>5</v>
      </c>
      <c r="D711" s="36">
        <f>SUM(D709:D710)</f>
        <v>2856111.111111111</v>
      </c>
      <c r="E711" s="6"/>
      <c r="F711" s="11"/>
    </row>
    <row r="712" spans="1:6" ht="28.8">
      <c r="A712" s="41" t="s">
        <v>18</v>
      </c>
      <c r="B712" s="341" t="s">
        <v>6</v>
      </c>
      <c r="C712" s="342"/>
      <c r="D712" s="343"/>
      <c r="E712" s="40" t="s">
        <v>111</v>
      </c>
      <c r="F712" s="40" t="s">
        <v>112</v>
      </c>
    </row>
    <row r="713" spans="1:6">
      <c r="A713" s="189" t="s">
        <v>40</v>
      </c>
      <c r="B713" s="189"/>
      <c r="C713" s="189"/>
      <c r="D713" s="189"/>
      <c r="E713" s="189"/>
      <c r="F713" s="189"/>
    </row>
    <row r="714" spans="1:6">
      <c r="A714" s="281" t="s">
        <v>19</v>
      </c>
      <c r="B714" s="314" t="s">
        <v>20</v>
      </c>
      <c r="C714" s="208"/>
      <c r="D714" s="209"/>
      <c r="E714" s="42"/>
      <c r="F714" s="44"/>
    </row>
    <row r="715" spans="1:6">
      <c r="A715" s="281"/>
      <c r="B715" s="314" t="s">
        <v>21</v>
      </c>
      <c r="C715" s="208"/>
      <c r="D715" s="209"/>
      <c r="E715" s="42"/>
      <c r="F715" s="44"/>
    </row>
    <row r="716" spans="1:6">
      <c r="A716" s="281"/>
      <c r="B716" s="314" t="s">
        <v>22</v>
      </c>
      <c r="C716" s="208"/>
      <c r="D716" s="209"/>
      <c r="E716" s="42"/>
      <c r="F716" s="44"/>
    </row>
    <row r="717" spans="1:6">
      <c r="A717" s="281"/>
      <c r="B717" s="314" t="s">
        <v>23</v>
      </c>
      <c r="C717" s="208"/>
      <c r="D717" s="209"/>
      <c r="E717" s="42"/>
      <c r="F717" s="44"/>
    </row>
    <row r="718" spans="1:6">
      <c r="A718" s="281"/>
      <c r="B718" s="314" t="s">
        <v>12</v>
      </c>
      <c r="C718" s="208"/>
      <c r="D718" s="209"/>
      <c r="E718" s="42"/>
      <c r="F718" s="44"/>
    </row>
    <row r="719" spans="1:6">
      <c r="A719" s="281"/>
      <c r="B719" s="314" t="s">
        <v>24</v>
      </c>
      <c r="C719" s="208"/>
      <c r="D719" s="209"/>
      <c r="E719" s="42"/>
      <c r="F719" s="44"/>
    </row>
    <row r="720" spans="1:6">
      <c r="A720" s="281" t="s">
        <v>25</v>
      </c>
      <c r="B720" s="272" t="s">
        <v>17</v>
      </c>
      <c r="C720" s="297"/>
      <c r="D720" s="273"/>
      <c r="E720" s="21"/>
      <c r="F720" s="44"/>
    </row>
    <row r="721" spans="1:6">
      <c r="A721" s="281"/>
      <c r="B721" s="307" t="s">
        <v>16</v>
      </c>
      <c r="C721" s="280"/>
      <c r="D721" s="271"/>
      <c r="E721" s="21"/>
      <c r="F721" s="44"/>
    </row>
    <row r="722" spans="1:6">
      <c r="A722" s="281"/>
      <c r="B722" s="307" t="s">
        <v>28</v>
      </c>
      <c r="C722" s="280"/>
      <c r="D722" s="271"/>
      <c r="E722" s="21"/>
      <c r="F722" s="44"/>
    </row>
    <row r="723" spans="1:6">
      <c r="A723" s="281"/>
      <c r="B723" s="247" t="s">
        <v>11</v>
      </c>
      <c r="C723" s="248"/>
      <c r="D723" s="249"/>
      <c r="E723" s="21">
        <v>3</v>
      </c>
      <c r="F723" s="44">
        <f>2700+2700+450</f>
        <v>5850</v>
      </c>
    </row>
    <row r="724" spans="1:6">
      <c r="A724" s="281"/>
      <c r="B724" s="247" t="s">
        <v>29</v>
      </c>
      <c r="C724" s="248"/>
      <c r="D724" s="249"/>
      <c r="E724" s="21"/>
      <c r="F724" s="44"/>
    </row>
    <row r="725" spans="1:6">
      <c r="A725" s="336" t="s">
        <v>26</v>
      </c>
      <c r="B725" s="337" t="s">
        <v>108</v>
      </c>
      <c r="C725" s="338"/>
      <c r="D725" s="339"/>
      <c r="E725" s="21"/>
      <c r="F725" s="44"/>
    </row>
    <row r="726" spans="1:6">
      <c r="A726" s="336"/>
      <c r="B726" s="247" t="s">
        <v>30</v>
      </c>
      <c r="C726" s="248"/>
      <c r="D726" s="249"/>
      <c r="E726" s="21"/>
      <c r="F726" s="44"/>
    </row>
    <row r="727" spans="1:6">
      <c r="A727" s="281" t="s">
        <v>27</v>
      </c>
      <c r="B727" s="307" t="s">
        <v>31</v>
      </c>
      <c r="C727" s="280"/>
      <c r="D727" s="271"/>
      <c r="E727" s="21"/>
      <c r="F727" s="44"/>
    </row>
    <row r="728" spans="1:6">
      <c r="A728" s="281"/>
      <c r="B728" s="307" t="s">
        <v>32</v>
      </c>
      <c r="C728" s="280"/>
      <c r="D728" s="271"/>
      <c r="E728" s="21"/>
      <c r="F728" s="44"/>
    </row>
    <row r="729" spans="1:6">
      <c r="A729" s="281" t="s">
        <v>13</v>
      </c>
      <c r="B729" s="307" t="s">
        <v>9</v>
      </c>
      <c r="C729" s="280"/>
      <c r="D729" s="271"/>
      <c r="E729" s="21"/>
      <c r="F729" s="44"/>
    </row>
    <row r="730" spans="1:6">
      <c r="A730" s="281"/>
      <c r="B730" s="307" t="s">
        <v>33</v>
      </c>
      <c r="C730" s="280"/>
      <c r="D730" s="271"/>
      <c r="E730" s="21"/>
      <c r="F730" s="44"/>
    </row>
    <row r="731" spans="1:6">
      <c r="A731" s="281"/>
      <c r="B731" s="307" t="s">
        <v>34</v>
      </c>
      <c r="C731" s="280"/>
      <c r="D731" s="271"/>
      <c r="E731" s="21"/>
      <c r="F731" s="44"/>
    </row>
    <row r="732" spans="1:6">
      <c r="A732" s="281"/>
      <c r="B732" s="307" t="s">
        <v>35</v>
      </c>
      <c r="C732" s="280"/>
      <c r="D732" s="271"/>
      <c r="E732" s="21"/>
      <c r="F732" s="44"/>
    </row>
    <row r="733" spans="1:6">
      <c r="A733" s="43" t="s">
        <v>8</v>
      </c>
      <c r="B733" s="244" t="s">
        <v>38</v>
      </c>
      <c r="C733" s="245"/>
      <c r="D733" s="246"/>
      <c r="E733" s="21"/>
      <c r="F733" s="44"/>
    </row>
    <row r="734" spans="1:6">
      <c r="A734" s="188" t="s">
        <v>39</v>
      </c>
      <c r="B734" s="188"/>
      <c r="C734" s="188"/>
      <c r="D734" s="188"/>
      <c r="E734" s="188"/>
      <c r="F734" s="188"/>
    </row>
    <row r="735" spans="1:6">
      <c r="A735" s="211" t="s">
        <v>41</v>
      </c>
      <c r="B735" s="307" t="s">
        <v>47</v>
      </c>
      <c r="C735" s="280"/>
      <c r="D735" s="271"/>
      <c r="E735" s="21"/>
      <c r="F735" s="44"/>
    </row>
    <row r="736" spans="1:6">
      <c r="A736" s="211"/>
      <c r="B736" s="307" t="s">
        <v>48</v>
      </c>
      <c r="C736" s="280"/>
      <c r="D736" s="271"/>
      <c r="E736" s="21"/>
      <c r="F736" s="44"/>
    </row>
    <row r="737" spans="1:6">
      <c r="A737" s="211"/>
      <c r="B737" s="307" t="s">
        <v>49</v>
      </c>
      <c r="C737" s="280"/>
      <c r="D737" s="271"/>
      <c r="E737" s="21"/>
      <c r="F737" s="44"/>
    </row>
    <row r="738" spans="1:6">
      <c r="A738" s="211"/>
      <c r="B738" s="307" t="s">
        <v>50</v>
      </c>
      <c r="C738" s="280"/>
      <c r="D738" s="271"/>
      <c r="E738" s="21"/>
      <c r="F738" s="44"/>
    </row>
    <row r="739" spans="1:6">
      <c r="A739" s="211"/>
      <c r="B739" s="307" t="s">
        <v>51</v>
      </c>
      <c r="C739" s="280"/>
      <c r="D739" s="271"/>
      <c r="E739" s="21"/>
      <c r="F739" s="44"/>
    </row>
    <row r="740" spans="1:6">
      <c r="A740" s="211"/>
      <c r="B740" s="270" t="s">
        <v>52</v>
      </c>
      <c r="C740" s="279"/>
      <c r="D740" s="278"/>
      <c r="E740" s="21"/>
      <c r="F740" s="44"/>
    </row>
    <row r="741" spans="1:6">
      <c r="A741" s="211"/>
      <c r="B741" s="307" t="s">
        <v>12</v>
      </c>
      <c r="C741" s="280"/>
      <c r="D741" s="271"/>
      <c r="E741" s="21">
        <v>5</v>
      </c>
      <c r="F741" s="44">
        <f>54*E741</f>
        <v>270</v>
      </c>
    </row>
    <row r="742" spans="1:6">
      <c r="A742" s="211"/>
      <c r="B742" s="247" t="s">
        <v>8</v>
      </c>
      <c r="C742" s="248"/>
      <c r="D742" s="249"/>
      <c r="E742" s="21">
        <v>13</v>
      </c>
      <c r="F742" s="44">
        <f>E742*900</f>
        <v>11700</v>
      </c>
    </row>
    <row r="743" spans="1:6">
      <c r="A743" s="211" t="s">
        <v>42</v>
      </c>
      <c r="B743" s="307" t="s">
        <v>53</v>
      </c>
      <c r="C743" s="280"/>
      <c r="D743" s="271"/>
      <c r="E743" s="21"/>
      <c r="F743" s="44"/>
    </row>
    <row r="744" spans="1:6">
      <c r="A744" s="211"/>
      <c r="B744" s="307" t="s">
        <v>54</v>
      </c>
      <c r="C744" s="280"/>
      <c r="D744" s="271"/>
      <c r="E744" s="21"/>
      <c r="F744" s="44"/>
    </row>
    <row r="745" spans="1:6">
      <c r="A745" s="211"/>
      <c r="B745" s="307" t="s">
        <v>55</v>
      </c>
      <c r="C745" s="280"/>
      <c r="D745" s="271"/>
      <c r="E745" s="21"/>
      <c r="F745" s="44"/>
    </row>
    <row r="746" spans="1:6">
      <c r="A746" s="211"/>
      <c r="B746" s="307" t="s">
        <v>34</v>
      </c>
      <c r="C746" s="280"/>
      <c r="D746" s="271"/>
      <c r="E746" s="21"/>
      <c r="F746" s="44"/>
    </row>
    <row r="747" spans="1:6">
      <c r="A747" s="211"/>
      <c r="B747" s="307" t="s">
        <v>56</v>
      </c>
      <c r="C747" s="280"/>
      <c r="D747" s="271"/>
      <c r="E747" s="21"/>
      <c r="F747" s="44"/>
    </row>
    <row r="748" spans="1:6">
      <c r="A748" s="211"/>
      <c r="B748" s="307" t="s">
        <v>57</v>
      </c>
      <c r="C748" s="280"/>
      <c r="D748" s="271"/>
      <c r="E748" s="21"/>
      <c r="F748" s="44"/>
    </row>
    <row r="749" spans="1:6">
      <c r="A749" s="211"/>
      <c r="B749" s="307" t="s">
        <v>58</v>
      </c>
      <c r="C749" s="280"/>
      <c r="D749" s="271"/>
      <c r="E749" s="21"/>
      <c r="F749" s="44"/>
    </row>
    <row r="750" spans="1:6">
      <c r="A750" s="211" t="s">
        <v>43</v>
      </c>
      <c r="B750" s="307" t="s">
        <v>36</v>
      </c>
      <c r="C750" s="280"/>
      <c r="D750" s="271"/>
      <c r="E750" s="21"/>
      <c r="F750" s="44"/>
    </row>
    <row r="751" spans="1:6">
      <c r="A751" s="211"/>
      <c r="B751" s="307" t="s">
        <v>59</v>
      </c>
      <c r="C751" s="280"/>
      <c r="D751" s="271"/>
      <c r="E751" s="21"/>
      <c r="F751" s="44"/>
    </row>
    <row r="752" spans="1:6">
      <c r="A752" s="211"/>
      <c r="B752" s="307" t="s">
        <v>37</v>
      </c>
      <c r="C752" s="280"/>
      <c r="D752" s="271"/>
      <c r="E752" s="21"/>
      <c r="F752" s="44"/>
    </row>
    <row r="753" spans="1:6">
      <c r="A753" s="211"/>
      <c r="B753" s="307" t="s">
        <v>60</v>
      </c>
      <c r="C753" s="280"/>
      <c r="D753" s="271"/>
      <c r="E753" s="21"/>
      <c r="F753" s="44"/>
    </row>
    <row r="754" spans="1:6">
      <c r="A754" s="211"/>
      <c r="B754" s="307" t="s">
        <v>61</v>
      </c>
      <c r="C754" s="280"/>
      <c r="D754" s="271"/>
      <c r="E754" s="21"/>
      <c r="F754" s="44"/>
    </row>
    <row r="755" spans="1:6" ht="28.8">
      <c r="A755" s="25" t="s">
        <v>44</v>
      </c>
      <c r="B755" s="314" t="s">
        <v>62</v>
      </c>
      <c r="C755" s="208"/>
      <c r="D755" s="209"/>
      <c r="E755" s="21"/>
      <c r="F755" s="44"/>
    </row>
    <row r="756" spans="1:6">
      <c r="A756" s="211" t="s">
        <v>45</v>
      </c>
      <c r="B756" s="307" t="s">
        <v>63</v>
      </c>
      <c r="C756" s="280"/>
      <c r="D756" s="271"/>
      <c r="E756" s="21"/>
      <c r="F756" s="44"/>
    </row>
    <row r="757" spans="1:6">
      <c r="A757" s="211"/>
      <c r="B757" s="307" t="s">
        <v>64</v>
      </c>
      <c r="C757" s="280"/>
      <c r="D757" s="271"/>
      <c r="E757" s="21"/>
      <c r="F757" s="44"/>
    </row>
    <row r="758" spans="1:6">
      <c r="A758" s="211"/>
      <c r="B758" s="307" t="s">
        <v>65</v>
      </c>
      <c r="C758" s="280"/>
      <c r="D758" s="271"/>
      <c r="E758" s="21"/>
      <c r="F758" s="44"/>
    </row>
    <row r="759" spans="1:6">
      <c r="A759" s="211"/>
      <c r="B759" s="307" t="s">
        <v>66</v>
      </c>
      <c r="C759" s="280"/>
      <c r="D759" s="271"/>
      <c r="E759" s="21"/>
      <c r="F759" s="44"/>
    </row>
    <row r="760" spans="1:6">
      <c r="A760" s="211"/>
      <c r="B760" s="307" t="s">
        <v>67</v>
      </c>
      <c r="C760" s="280"/>
      <c r="D760" s="271"/>
      <c r="E760" s="21"/>
      <c r="F760" s="44"/>
    </row>
    <row r="761" spans="1:6">
      <c r="A761" s="211"/>
      <c r="B761" s="307" t="s">
        <v>68</v>
      </c>
      <c r="C761" s="280"/>
      <c r="D761" s="271"/>
      <c r="E761" s="21"/>
      <c r="F761" s="44"/>
    </row>
    <row r="762" spans="1:6">
      <c r="A762" s="211" t="s">
        <v>46</v>
      </c>
      <c r="B762" s="307" t="s">
        <v>69</v>
      </c>
      <c r="C762" s="280"/>
      <c r="D762" s="271"/>
      <c r="E762" s="21">
        <v>17</v>
      </c>
      <c r="F762" s="44">
        <f>180*E762</f>
        <v>3060</v>
      </c>
    </row>
    <row r="763" spans="1:6">
      <c r="A763" s="211"/>
      <c r="B763" s="307" t="s">
        <v>70</v>
      </c>
      <c r="C763" s="280"/>
      <c r="D763" s="271"/>
      <c r="E763" s="21"/>
      <c r="F763" s="44"/>
    </row>
    <row r="764" spans="1:6">
      <c r="A764" s="188" t="s">
        <v>71</v>
      </c>
      <c r="B764" s="188"/>
      <c r="C764" s="188"/>
      <c r="D764" s="188"/>
      <c r="E764" s="188"/>
      <c r="F764" s="188"/>
    </row>
    <row r="765" spans="1:6">
      <c r="A765" s="211" t="s">
        <v>72</v>
      </c>
      <c r="B765" s="307" t="s">
        <v>54</v>
      </c>
      <c r="C765" s="280"/>
      <c r="D765" s="271"/>
      <c r="E765" s="42"/>
      <c r="F765" s="44"/>
    </row>
    <row r="766" spans="1:6">
      <c r="A766" s="211"/>
      <c r="B766" s="307" t="s">
        <v>55</v>
      </c>
      <c r="C766" s="280"/>
      <c r="D766" s="271"/>
      <c r="E766" s="42"/>
      <c r="F766" s="44"/>
    </row>
    <row r="767" spans="1:6">
      <c r="A767" s="211"/>
      <c r="B767" s="307" t="s">
        <v>64</v>
      </c>
      <c r="C767" s="280"/>
      <c r="D767" s="271"/>
      <c r="E767" s="42"/>
      <c r="F767" s="44"/>
    </row>
    <row r="768" spans="1:6">
      <c r="A768" s="211"/>
      <c r="B768" s="307" t="s">
        <v>66</v>
      </c>
      <c r="C768" s="280"/>
      <c r="D768" s="271"/>
      <c r="E768" s="42"/>
      <c r="F768" s="44"/>
    </row>
    <row r="769" spans="1:6">
      <c r="A769" s="316" t="s">
        <v>73</v>
      </c>
      <c r="B769" s="314" t="s">
        <v>74</v>
      </c>
      <c r="C769" s="208"/>
      <c r="D769" s="209"/>
      <c r="E769" s="42"/>
      <c r="F769" s="44"/>
    </row>
    <row r="770" spans="1:6">
      <c r="A770" s="317"/>
      <c r="B770" s="314" t="s">
        <v>75</v>
      </c>
      <c r="C770" s="208"/>
      <c r="D770" s="209"/>
      <c r="E770" s="42">
        <v>1</v>
      </c>
      <c r="F770" s="44">
        <v>885</v>
      </c>
    </row>
    <row r="771" spans="1:6">
      <c r="A771" s="318"/>
      <c r="B771" s="244" t="s">
        <v>76</v>
      </c>
      <c r="C771" s="245"/>
      <c r="D771" s="246"/>
      <c r="E771" s="46"/>
      <c r="F771" s="44"/>
    </row>
    <row r="772" spans="1:6">
      <c r="A772" s="241" t="s">
        <v>77</v>
      </c>
      <c r="B772" s="241"/>
      <c r="C772" s="241"/>
      <c r="D772" s="241"/>
      <c r="E772" s="241"/>
      <c r="F772" s="241"/>
    </row>
    <row r="773" spans="1:6">
      <c r="A773" s="211" t="s">
        <v>78</v>
      </c>
      <c r="B773" s="307" t="s">
        <v>83</v>
      </c>
      <c r="C773" s="280"/>
      <c r="D773" s="271"/>
      <c r="E773" s="21"/>
      <c r="F773" s="44"/>
    </row>
    <row r="774" spans="1:6">
      <c r="A774" s="211"/>
      <c r="B774" s="307" t="s">
        <v>15</v>
      </c>
      <c r="C774" s="280"/>
      <c r="D774" s="271"/>
      <c r="E774" s="21">
        <v>1</v>
      </c>
      <c r="F774" s="44">
        <v>45</v>
      </c>
    </row>
    <row r="775" spans="1:6">
      <c r="A775" s="211"/>
      <c r="B775" s="307" t="s">
        <v>84</v>
      </c>
      <c r="C775" s="280"/>
      <c r="D775" s="271"/>
      <c r="E775" s="21"/>
      <c r="F775" s="44"/>
    </row>
    <row r="776" spans="1:6">
      <c r="A776" s="211"/>
      <c r="B776" s="307" t="s">
        <v>85</v>
      </c>
      <c r="C776" s="280"/>
      <c r="D776" s="271"/>
      <c r="E776" s="21"/>
      <c r="F776" s="44"/>
    </row>
    <row r="777" spans="1:6">
      <c r="A777" s="211"/>
      <c r="B777" s="307" t="s">
        <v>86</v>
      </c>
      <c r="C777" s="280"/>
      <c r="D777" s="271"/>
      <c r="E777" s="21"/>
      <c r="F777" s="44"/>
    </row>
    <row r="778" spans="1:6">
      <c r="A778" s="211"/>
      <c r="B778" s="270" t="s">
        <v>130</v>
      </c>
      <c r="C778" s="280"/>
      <c r="D778" s="271"/>
      <c r="E778" s="21">
        <v>1</v>
      </c>
      <c r="F778" s="44">
        <v>270</v>
      </c>
    </row>
    <row r="779" spans="1:6">
      <c r="A779" s="211"/>
      <c r="B779" s="270" t="s">
        <v>131</v>
      </c>
      <c r="C779" s="280"/>
      <c r="D779" s="271"/>
      <c r="E779" s="21">
        <v>2</v>
      </c>
      <c r="F779" s="44">
        <f>E779*900</f>
        <v>1800</v>
      </c>
    </row>
    <row r="780" spans="1:6">
      <c r="A780" s="211" t="s">
        <v>79</v>
      </c>
      <c r="B780" s="307" t="s">
        <v>89</v>
      </c>
      <c r="C780" s="280"/>
      <c r="D780" s="271"/>
      <c r="E780" s="21">
        <v>5</v>
      </c>
      <c r="F780" s="44">
        <v>500</v>
      </c>
    </row>
    <row r="781" spans="1:6">
      <c r="A781" s="211"/>
      <c r="B781" s="307" t="s">
        <v>90</v>
      </c>
      <c r="C781" s="280"/>
      <c r="D781" s="271"/>
      <c r="E781" s="21"/>
      <c r="F781" s="44"/>
    </row>
    <row r="782" spans="1:6">
      <c r="A782" s="211"/>
      <c r="B782" s="307" t="s">
        <v>91</v>
      </c>
      <c r="C782" s="280"/>
      <c r="D782" s="271"/>
      <c r="E782" s="21"/>
      <c r="F782" s="44"/>
    </row>
    <row r="783" spans="1:6">
      <c r="A783" s="211"/>
      <c r="B783" s="307" t="s">
        <v>92</v>
      </c>
      <c r="C783" s="280"/>
      <c r="D783" s="271"/>
      <c r="E783" s="21">
        <v>2</v>
      </c>
      <c r="F783" s="44">
        <v>100</v>
      </c>
    </row>
    <row r="784" spans="1:6">
      <c r="A784" s="211"/>
      <c r="B784" s="307" t="s">
        <v>93</v>
      </c>
      <c r="C784" s="280"/>
      <c r="D784" s="271"/>
      <c r="E784" s="21">
        <v>1</v>
      </c>
      <c r="F784" s="44">
        <v>50</v>
      </c>
    </row>
    <row r="785" spans="1:6">
      <c r="A785" s="211"/>
      <c r="B785" s="307" t="s">
        <v>94</v>
      </c>
      <c r="C785" s="280"/>
      <c r="D785" s="271"/>
      <c r="E785" s="21"/>
      <c r="F785" s="44"/>
    </row>
    <row r="786" spans="1:6">
      <c r="A786" s="211"/>
      <c r="B786" s="307" t="s">
        <v>95</v>
      </c>
      <c r="C786" s="280"/>
      <c r="D786" s="271"/>
      <c r="E786" s="21"/>
      <c r="F786" s="44"/>
    </row>
    <row r="787" spans="1:6">
      <c r="A787" s="211"/>
      <c r="B787" s="307" t="s">
        <v>96</v>
      </c>
      <c r="C787" s="280"/>
      <c r="D787" s="271"/>
      <c r="E787" s="21"/>
      <c r="F787" s="44"/>
    </row>
    <row r="788" spans="1:6">
      <c r="A788" s="211"/>
      <c r="B788" s="307" t="s">
        <v>97</v>
      </c>
      <c r="C788" s="280"/>
      <c r="D788" s="271"/>
      <c r="E788" s="21"/>
      <c r="F788" s="44"/>
    </row>
    <row r="789" spans="1:6">
      <c r="A789" s="211"/>
      <c r="B789" s="307" t="s">
        <v>98</v>
      </c>
      <c r="C789" s="280"/>
      <c r="D789" s="271"/>
      <c r="E789" s="21"/>
      <c r="F789" s="44"/>
    </row>
    <row r="790" spans="1:6">
      <c r="A790" s="211"/>
      <c r="B790" s="270" t="s">
        <v>132</v>
      </c>
      <c r="C790" s="280"/>
      <c r="D790" s="271"/>
      <c r="E790" s="21">
        <v>3</v>
      </c>
      <c r="F790" s="44">
        <v>220</v>
      </c>
    </row>
    <row r="791" spans="1:6">
      <c r="A791" s="211"/>
      <c r="B791" s="307" t="s">
        <v>100</v>
      </c>
      <c r="C791" s="280"/>
      <c r="D791" s="271"/>
      <c r="E791" s="21">
        <v>1</v>
      </c>
      <c r="F791" s="44">
        <v>30</v>
      </c>
    </row>
    <row r="792" spans="1:6">
      <c r="A792" s="39" t="s">
        <v>80</v>
      </c>
      <c r="B792" s="262" t="s">
        <v>101</v>
      </c>
      <c r="C792" s="319"/>
      <c r="D792" s="263"/>
      <c r="E792" s="21"/>
      <c r="F792" s="44"/>
    </row>
    <row r="793" spans="1:6">
      <c r="A793" s="211" t="s">
        <v>81</v>
      </c>
      <c r="B793" s="314" t="s">
        <v>102</v>
      </c>
      <c r="C793" s="208"/>
      <c r="D793" s="209"/>
      <c r="E793" s="21">
        <v>1</v>
      </c>
      <c r="F793" s="44">
        <v>270</v>
      </c>
    </row>
    <row r="794" spans="1:6">
      <c r="A794" s="211"/>
      <c r="B794" s="207" t="s">
        <v>113</v>
      </c>
      <c r="C794" s="294"/>
      <c r="D794" s="274"/>
      <c r="E794" s="21">
        <v>1</v>
      </c>
      <c r="F794" s="44">
        <v>450</v>
      </c>
    </row>
    <row r="795" spans="1:6">
      <c r="A795" s="233"/>
      <c r="B795" s="207" t="s">
        <v>133</v>
      </c>
      <c r="C795" s="294"/>
      <c r="D795" s="274"/>
      <c r="E795" s="44">
        <v>2</v>
      </c>
      <c r="F795" s="44">
        <f>2700+4500</f>
        <v>7200</v>
      </c>
    </row>
    <row r="796" spans="1:6">
      <c r="A796" s="211" t="s">
        <v>82</v>
      </c>
      <c r="B796" s="307" t="s">
        <v>103</v>
      </c>
      <c r="C796" s="280"/>
      <c r="D796" s="271"/>
      <c r="E796" s="21"/>
      <c r="F796" s="44"/>
    </row>
    <row r="797" spans="1:6">
      <c r="A797" s="211"/>
      <c r="B797" s="307" t="s">
        <v>104</v>
      </c>
      <c r="C797" s="280"/>
      <c r="D797" s="271"/>
      <c r="E797" s="21"/>
      <c r="F797" s="44"/>
    </row>
    <row r="798" spans="1:6">
      <c r="A798" s="211"/>
      <c r="B798" s="307" t="s">
        <v>105</v>
      </c>
      <c r="C798" s="280"/>
      <c r="D798" s="271"/>
      <c r="E798" s="21"/>
      <c r="F798" s="44"/>
    </row>
    <row r="799" spans="1:6">
      <c r="A799" s="211"/>
      <c r="B799" s="207" t="s">
        <v>115</v>
      </c>
      <c r="C799" s="208"/>
      <c r="D799" s="209"/>
      <c r="E799" s="21"/>
      <c r="F799" s="44"/>
    </row>
    <row r="800" spans="1:6">
      <c r="A800" s="211"/>
      <c r="B800" s="307" t="s">
        <v>106</v>
      </c>
      <c r="C800" s="280"/>
      <c r="D800" s="271"/>
      <c r="E800" s="21"/>
      <c r="F800" s="44"/>
    </row>
    <row r="801" spans="1:6">
      <c r="A801" s="211"/>
      <c r="B801" s="307" t="s">
        <v>107</v>
      </c>
      <c r="C801" s="280"/>
      <c r="D801" s="271"/>
      <c r="E801" s="21"/>
      <c r="F801" s="44"/>
    </row>
    <row r="802" spans="1:6">
      <c r="F802" s="10">
        <f>SUM(F714:F801)</f>
        <v>32700</v>
      </c>
    </row>
    <row r="806" spans="1:6">
      <c r="A806" s="340" t="s">
        <v>116</v>
      </c>
      <c r="B806" s="340"/>
      <c r="C806" s="340"/>
      <c r="D806" s="340"/>
      <c r="E806" s="340"/>
      <c r="F806" s="340"/>
    </row>
    <row r="807" spans="1:6">
      <c r="A807" s="19"/>
      <c r="B807" s="19"/>
      <c r="C807" s="19" t="s">
        <v>118</v>
      </c>
      <c r="D807" s="37" t="s">
        <v>134</v>
      </c>
      <c r="E807" s="6"/>
      <c r="F807" s="45"/>
    </row>
    <row r="808" spans="1:6">
      <c r="A808" s="1"/>
      <c r="B808" s="19"/>
      <c r="C808" s="19" t="s">
        <v>0</v>
      </c>
      <c r="D808" s="34">
        <f>'Saihapui K'!B3*194*100</f>
        <v>2813000</v>
      </c>
      <c r="E808" s="6"/>
      <c r="F808" s="11"/>
    </row>
    <row r="809" spans="1:6">
      <c r="A809" s="19"/>
      <c r="B809" s="19"/>
      <c r="C809" s="19" t="s">
        <v>2</v>
      </c>
      <c r="D809" s="35">
        <f>D808*1/9</f>
        <v>312555.55555555556</v>
      </c>
      <c r="E809" s="6"/>
      <c r="F809" s="22"/>
    </row>
    <row r="810" spans="1:6">
      <c r="A810" s="7"/>
      <c r="B810" s="19"/>
      <c r="C810" s="19" t="s">
        <v>3</v>
      </c>
      <c r="D810" s="35">
        <f>SUM(D808:D809)</f>
        <v>3125555.5555555555</v>
      </c>
      <c r="E810" s="6"/>
      <c r="F810" s="11"/>
    </row>
    <row r="811" spans="1:6">
      <c r="A811" s="7"/>
      <c r="B811" s="19"/>
      <c r="C811" s="19" t="s">
        <v>4</v>
      </c>
      <c r="D811" s="35">
        <f>D810*0.06</f>
        <v>187533.33333333331</v>
      </c>
      <c r="E811" s="6"/>
      <c r="F811" s="11"/>
    </row>
    <row r="812" spans="1:6">
      <c r="A812" s="7"/>
      <c r="B812" s="19"/>
      <c r="C812" s="19" t="s">
        <v>5</v>
      </c>
      <c r="D812" s="36">
        <f>SUM(D810:D811)</f>
        <v>3313088.888888889</v>
      </c>
      <c r="E812" s="6"/>
      <c r="F812" s="11"/>
    </row>
    <row r="813" spans="1:6" ht="28.8">
      <c r="A813" s="41" t="s">
        <v>18</v>
      </c>
      <c r="B813" s="341" t="s">
        <v>6</v>
      </c>
      <c r="C813" s="342"/>
      <c r="D813" s="343"/>
      <c r="E813" s="40" t="s">
        <v>111</v>
      </c>
      <c r="F813" s="40" t="s">
        <v>112</v>
      </c>
    </row>
    <row r="814" spans="1:6">
      <c r="A814" s="189" t="s">
        <v>40</v>
      </c>
      <c r="B814" s="189"/>
      <c r="C814" s="189"/>
      <c r="D814" s="189"/>
      <c r="E814" s="189"/>
      <c r="F814" s="189"/>
    </row>
    <row r="815" spans="1:6">
      <c r="A815" s="281" t="s">
        <v>19</v>
      </c>
      <c r="B815" s="314" t="s">
        <v>20</v>
      </c>
      <c r="C815" s="208"/>
      <c r="D815" s="209"/>
      <c r="E815" s="42"/>
      <c r="F815" s="44"/>
    </row>
    <row r="816" spans="1:6">
      <c r="A816" s="281"/>
      <c r="B816" s="314" t="s">
        <v>21</v>
      </c>
      <c r="C816" s="208"/>
      <c r="D816" s="209"/>
      <c r="E816" s="42"/>
      <c r="F816" s="44"/>
    </row>
    <row r="817" spans="1:6">
      <c r="A817" s="281"/>
      <c r="B817" s="314" t="s">
        <v>22</v>
      </c>
      <c r="C817" s="208"/>
      <c r="D817" s="209"/>
      <c r="E817" s="42"/>
      <c r="F817" s="44"/>
    </row>
    <row r="818" spans="1:6">
      <c r="A818" s="281"/>
      <c r="B818" s="314" t="s">
        <v>23</v>
      </c>
      <c r="C818" s="208"/>
      <c r="D818" s="209"/>
      <c r="E818" s="42"/>
      <c r="F818" s="44"/>
    </row>
    <row r="819" spans="1:6">
      <c r="A819" s="281"/>
      <c r="B819" s="314" t="s">
        <v>12</v>
      </c>
      <c r="C819" s="208"/>
      <c r="D819" s="209"/>
      <c r="E819" s="42"/>
      <c r="F819" s="44"/>
    </row>
    <row r="820" spans="1:6">
      <c r="A820" s="281"/>
      <c r="B820" s="314" t="s">
        <v>24</v>
      </c>
      <c r="C820" s="208"/>
      <c r="D820" s="209"/>
      <c r="E820" s="42"/>
      <c r="F820" s="44"/>
    </row>
    <row r="821" spans="1:6">
      <c r="A821" s="281" t="s">
        <v>25</v>
      </c>
      <c r="B821" s="272" t="s">
        <v>17</v>
      </c>
      <c r="C821" s="297"/>
      <c r="D821" s="273"/>
      <c r="E821" s="21"/>
      <c r="F821" s="44"/>
    </row>
    <row r="822" spans="1:6">
      <c r="A822" s="281"/>
      <c r="B822" s="307" t="s">
        <v>16</v>
      </c>
      <c r="C822" s="280"/>
      <c r="D822" s="271"/>
      <c r="E822" s="21"/>
      <c r="F822" s="44"/>
    </row>
    <row r="823" spans="1:6">
      <c r="A823" s="281"/>
      <c r="B823" s="307" t="s">
        <v>28</v>
      </c>
      <c r="C823" s="280"/>
      <c r="D823" s="271"/>
      <c r="E823" s="21"/>
      <c r="F823" s="44"/>
    </row>
    <row r="824" spans="1:6">
      <c r="A824" s="281"/>
      <c r="B824" s="247" t="s">
        <v>11</v>
      </c>
      <c r="C824" s="248"/>
      <c r="D824" s="249"/>
      <c r="E824" s="21">
        <v>1</v>
      </c>
      <c r="F824" s="44">
        <v>1800</v>
      </c>
    </row>
    <row r="825" spans="1:6">
      <c r="A825" s="281"/>
      <c r="B825" s="247" t="s">
        <v>29</v>
      </c>
      <c r="C825" s="248"/>
      <c r="D825" s="249"/>
      <c r="E825" s="21">
        <v>1</v>
      </c>
      <c r="F825" s="44">
        <v>3600</v>
      </c>
    </row>
    <row r="826" spans="1:6">
      <c r="A826" s="336" t="s">
        <v>26</v>
      </c>
      <c r="B826" s="337" t="s">
        <v>108</v>
      </c>
      <c r="C826" s="338"/>
      <c r="D826" s="339"/>
      <c r="E826" s="21"/>
      <c r="F826" s="44"/>
    </row>
    <row r="827" spans="1:6">
      <c r="A827" s="336"/>
      <c r="B827" s="247" t="s">
        <v>30</v>
      </c>
      <c r="C827" s="248"/>
      <c r="D827" s="249"/>
      <c r="E827" s="21"/>
      <c r="F827" s="44"/>
    </row>
    <row r="828" spans="1:6">
      <c r="A828" s="281" t="s">
        <v>27</v>
      </c>
      <c r="B828" s="307" t="s">
        <v>31</v>
      </c>
      <c r="C828" s="280"/>
      <c r="D828" s="271"/>
      <c r="E828" s="21"/>
      <c r="F828" s="44"/>
    </row>
    <row r="829" spans="1:6">
      <c r="A829" s="281"/>
      <c r="B829" s="307" t="s">
        <v>32</v>
      </c>
      <c r="C829" s="280"/>
      <c r="D829" s="271"/>
      <c r="E829" s="21"/>
      <c r="F829" s="44"/>
    </row>
    <row r="830" spans="1:6">
      <c r="A830" s="281" t="s">
        <v>13</v>
      </c>
      <c r="B830" s="307" t="s">
        <v>9</v>
      </c>
      <c r="C830" s="280"/>
      <c r="D830" s="271"/>
      <c r="E830" s="21">
        <v>1</v>
      </c>
      <c r="F830" s="44">
        <v>270</v>
      </c>
    </row>
    <row r="831" spans="1:6">
      <c r="A831" s="281"/>
      <c r="B831" s="307" t="s">
        <v>33</v>
      </c>
      <c r="C831" s="280"/>
      <c r="D831" s="271"/>
      <c r="E831" s="21"/>
      <c r="F831" s="44"/>
    </row>
    <row r="832" spans="1:6">
      <c r="A832" s="281"/>
      <c r="B832" s="307" t="s">
        <v>34</v>
      </c>
      <c r="C832" s="280"/>
      <c r="D832" s="271"/>
      <c r="E832" s="21">
        <v>1</v>
      </c>
      <c r="F832" s="44">
        <v>270</v>
      </c>
    </row>
    <row r="833" spans="1:6">
      <c r="A833" s="281"/>
      <c r="B833" s="307" t="s">
        <v>35</v>
      </c>
      <c r="C833" s="280"/>
      <c r="D833" s="271"/>
      <c r="E833" s="21"/>
      <c r="F833" s="44"/>
    </row>
    <row r="834" spans="1:6">
      <c r="A834" s="43" t="s">
        <v>8</v>
      </c>
      <c r="B834" s="244" t="s">
        <v>38</v>
      </c>
      <c r="C834" s="245"/>
      <c r="D834" s="246"/>
      <c r="E834" s="21"/>
      <c r="F834" s="44"/>
    </row>
    <row r="835" spans="1:6">
      <c r="A835" s="188" t="s">
        <v>39</v>
      </c>
      <c r="B835" s="188"/>
      <c r="C835" s="188"/>
      <c r="D835" s="188"/>
      <c r="E835" s="188"/>
      <c r="F835" s="188"/>
    </row>
    <row r="836" spans="1:6">
      <c r="A836" s="211" t="s">
        <v>41</v>
      </c>
      <c r="B836" s="307" t="s">
        <v>47</v>
      </c>
      <c r="C836" s="280"/>
      <c r="D836" s="271"/>
      <c r="E836" s="21"/>
      <c r="F836" s="44"/>
    </row>
    <row r="837" spans="1:6">
      <c r="A837" s="211"/>
      <c r="B837" s="307" t="s">
        <v>48</v>
      </c>
      <c r="C837" s="280"/>
      <c r="D837" s="271"/>
      <c r="E837" s="21"/>
      <c r="F837" s="44"/>
    </row>
    <row r="838" spans="1:6">
      <c r="A838" s="211"/>
      <c r="B838" s="307" t="s">
        <v>49</v>
      </c>
      <c r="C838" s="280"/>
      <c r="D838" s="271"/>
      <c r="E838" s="21"/>
      <c r="F838" s="44"/>
    </row>
    <row r="839" spans="1:6">
      <c r="A839" s="211"/>
      <c r="B839" s="307" t="s">
        <v>50</v>
      </c>
      <c r="C839" s="280"/>
      <c r="D839" s="271"/>
      <c r="E839" s="21"/>
      <c r="F839" s="44"/>
    </row>
    <row r="840" spans="1:6">
      <c r="A840" s="211"/>
      <c r="B840" s="307" t="s">
        <v>51</v>
      </c>
      <c r="C840" s="280"/>
      <c r="D840" s="271"/>
      <c r="E840" s="21"/>
      <c r="F840" s="44"/>
    </row>
    <row r="841" spans="1:6">
      <c r="A841" s="211"/>
      <c r="B841" s="270" t="s">
        <v>52</v>
      </c>
      <c r="C841" s="279"/>
      <c r="D841" s="278"/>
      <c r="E841" s="21"/>
      <c r="F841" s="44"/>
    </row>
    <row r="842" spans="1:6">
      <c r="A842" s="211"/>
      <c r="B842" s="307" t="s">
        <v>12</v>
      </c>
      <c r="C842" s="280"/>
      <c r="D842" s="271"/>
      <c r="E842" s="21">
        <v>2</v>
      </c>
      <c r="F842" s="44">
        <f>E842*54</f>
        <v>108</v>
      </c>
    </row>
    <row r="843" spans="1:6">
      <c r="A843" s="211"/>
      <c r="B843" s="247" t="s">
        <v>8</v>
      </c>
      <c r="C843" s="248"/>
      <c r="D843" s="249"/>
      <c r="E843" s="21">
        <v>1</v>
      </c>
      <c r="F843" s="44">
        <v>900</v>
      </c>
    </row>
    <row r="844" spans="1:6">
      <c r="A844" s="211" t="s">
        <v>42</v>
      </c>
      <c r="B844" s="307" t="s">
        <v>53</v>
      </c>
      <c r="C844" s="280"/>
      <c r="D844" s="271"/>
      <c r="E844" s="21"/>
      <c r="F844" s="44"/>
    </row>
    <row r="845" spans="1:6">
      <c r="A845" s="211"/>
      <c r="B845" s="307" t="s">
        <v>54</v>
      </c>
      <c r="C845" s="280"/>
      <c r="D845" s="271"/>
      <c r="E845" s="21"/>
      <c r="F845" s="44"/>
    </row>
    <row r="846" spans="1:6">
      <c r="A846" s="211"/>
      <c r="B846" s="307" t="s">
        <v>55</v>
      </c>
      <c r="C846" s="280"/>
      <c r="D846" s="271"/>
      <c r="E846" s="21"/>
      <c r="F846" s="44"/>
    </row>
    <row r="847" spans="1:6">
      <c r="A847" s="211"/>
      <c r="B847" s="307" t="s">
        <v>34</v>
      </c>
      <c r="C847" s="280"/>
      <c r="D847" s="271"/>
      <c r="E847" s="21"/>
      <c r="F847" s="44"/>
    </row>
    <row r="848" spans="1:6">
      <c r="A848" s="211"/>
      <c r="B848" s="307" t="s">
        <v>56</v>
      </c>
      <c r="C848" s="280"/>
      <c r="D848" s="271"/>
      <c r="E848" s="21"/>
      <c r="F848" s="44"/>
    </row>
    <row r="849" spans="1:6">
      <c r="A849" s="211"/>
      <c r="B849" s="307" t="s">
        <v>57</v>
      </c>
      <c r="C849" s="280"/>
      <c r="D849" s="271"/>
      <c r="E849" s="21"/>
      <c r="F849" s="44"/>
    </row>
    <row r="850" spans="1:6">
      <c r="A850" s="211"/>
      <c r="B850" s="307" t="s">
        <v>58</v>
      </c>
      <c r="C850" s="280"/>
      <c r="D850" s="271"/>
      <c r="E850" s="21"/>
      <c r="F850" s="44"/>
    </row>
    <row r="851" spans="1:6">
      <c r="A851" s="211" t="s">
        <v>43</v>
      </c>
      <c r="B851" s="307" t="s">
        <v>36</v>
      </c>
      <c r="C851" s="280"/>
      <c r="D851" s="271"/>
      <c r="E851" s="21"/>
      <c r="F851" s="44"/>
    </row>
    <row r="852" spans="1:6">
      <c r="A852" s="211"/>
      <c r="B852" s="307" t="s">
        <v>59</v>
      </c>
      <c r="C852" s="280"/>
      <c r="D852" s="271"/>
      <c r="E852" s="21"/>
      <c r="F852" s="44"/>
    </row>
    <row r="853" spans="1:6">
      <c r="A853" s="211"/>
      <c r="B853" s="307" t="s">
        <v>37</v>
      </c>
      <c r="C853" s="280"/>
      <c r="D853" s="271"/>
      <c r="E853" s="21"/>
      <c r="F853" s="44"/>
    </row>
    <row r="854" spans="1:6">
      <c r="A854" s="211"/>
      <c r="B854" s="307" t="s">
        <v>60</v>
      </c>
      <c r="C854" s="280"/>
      <c r="D854" s="271"/>
      <c r="E854" s="21"/>
      <c r="F854" s="44"/>
    </row>
    <row r="855" spans="1:6">
      <c r="A855" s="211"/>
      <c r="B855" s="307" t="s">
        <v>61</v>
      </c>
      <c r="C855" s="280"/>
      <c r="D855" s="271"/>
      <c r="E855" s="21"/>
      <c r="F855" s="44"/>
    </row>
    <row r="856" spans="1:6" ht="28.8">
      <c r="A856" s="25" t="s">
        <v>44</v>
      </c>
      <c r="B856" s="314" t="s">
        <v>62</v>
      </c>
      <c r="C856" s="208"/>
      <c r="D856" s="209"/>
      <c r="E856" s="21"/>
      <c r="F856" s="44"/>
    </row>
    <row r="857" spans="1:6">
      <c r="A857" s="211" t="s">
        <v>45</v>
      </c>
      <c r="B857" s="307" t="s">
        <v>63</v>
      </c>
      <c r="C857" s="280"/>
      <c r="D857" s="271"/>
      <c r="E857" s="21"/>
      <c r="F857" s="44"/>
    </row>
    <row r="858" spans="1:6">
      <c r="A858" s="211"/>
      <c r="B858" s="307" t="s">
        <v>64</v>
      </c>
      <c r="C858" s="280"/>
      <c r="D858" s="271"/>
      <c r="E858" s="21"/>
      <c r="F858" s="44"/>
    </row>
    <row r="859" spans="1:6">
      <c r="A859" s="211"/>
      <c r="B859" s="307" t="s">
        <v>65</v>
      </c>
      <c r="C859" s="280"/>
      <c r="D859" s="271"/>
      <c r="E859" s="21"/>
      <c r="F859" s="44"/>
    </row>
    <row r="860" spans="1:6">
      <c r="A860" s="211"/>
      <c r="B860" s="307" t="s">
        <v>66</v>
      </c>
      <c r="C860" s="280"/>
      <c r="D860" s="271"/>
      <c r="E860" s="21"/>
      <c r="F860" s="44"/>
    </row>
    <row r="861" spans="1:6">
      <c r="A861" s="211"/>
      <c r="B861" s="307" t="s">
        <v>67</v>
      </c>
      <c r="C861" s="280"/>
      <c r="D861" s="271"/>
      <c r="E861" s="21"/>
      <c r="F861" s="44"/>
    </row>
    <row r="862" spans="1:6">
      <c r="A862" s="211"/>
      <c r="B862" s="307" t="s">
        <v>68</v>
      </c>
      <c r="C862" s="280"/>
      <c r="D862" s="271"/>
      <c r="E862" s="21"/>
      <c r="F862" s="44"/>
    </row>
    <row r="863" spans="1:6">
      <c r="A863" s="211" t="s">
        <v>46</v>
      </c>
      <c r="B863" s="307" t="s">
        <v>69</v>
      </c>
      <c r="C863" s="280"/>
      <c r="D863" s="271"/>
      <c r="E863" s="21">
        <v>6</v>
      </c>
      <c r="F863" s="44">
        <f>E863*180</f>
        <v>1080</v>
      </c>
    </row>
    <row r="864" spans="1:6">
      <c r="A864" s="211"/>
      <c r="B864" s="307" t="s">
        <v>70</v>
      </c>
      <c r="C864" s="280"/>
      <c r="D864" s="271"/>
      <c r="E864" s="21"/>
      <c r="F864" s="44"/>
    </row>
    <row r="865" spans="1:6">
      <c r="A865" s="188" t="s">
        <v>71</v>
      </c>
      <c r="B865" s="188"/>
      <c r="C865" s="188"/>
      <c r="D865" s="188"/>
      <c r="E865" s="188"/>
      <c r="F865" s="188"/>
    </row>
    <row r="866" spans="1:6">
      <c r="A866" s="211" t="s">
        <v>72</v>
      </c>
      <c r="B866" s="307" t="s">
        <v>54</v>
      </c>
      <c r="C866" s="280"/>
      <c r="D866" s="271"/>
      <c r="E866" s="42"/>
      <c r="F866" s="44"/>
    </row>
    <row r="867" spans="1:6">
      <c r="A867" s="211"/>
      <c r="B867" s="307" t="s">
        <v>55</v>
      </c>
      <c r="C867" s="280"/>
      <c r="D867" s="271"/>
      <c r="E867" s="42"/>
      <c r="F867" s="44"/>
    </row>
    <row r="868" spans="1:6">
      <c r="A868" s="211"/>
      <c r="B868" s="307" t="s">
        <v>64</v>
      </c>
      <c r="C868" s="280"/>
      <c r="D868" s="271"/>
      <c r="E868" s="42"/>
      <c r="F868" s="44"/>
    </row>
    <row r="869" spans="1:6">
      <c r="A869" s="211"/>
      <c r="B869" s="307" t="s">
        <v>66</v>
      </c>
      <c r="C869" s="280"/>
      <c r="D869" s="271"/>
      <c r="E869" s="42"/>
      <c r="F869" s="44"/>
    </row>
    <row r="870" spans="1:6">
      <c r="A870" s="316" t="s">
        <v>73</v>
      </c>
      <c r="B870" s="314" t="s">
        <v>74</v>
      </c>
      <c r="C870" s="208"/>
      <c r="D870" s="209"/>
      <c r="E870" s="42"/>
      <c r="F870" s="44"/>
    </row>
    <row r="871" spans="1:6">
      <c r="A871" s="317"/>
      <c r="B871" s="314" t="s">
        <v>75</v>
      </c>
      <c r="C871" s="208"/>
      <c r="D871" s="209"/>
      <c r="E871" s="42">
        <v>1</v>
      </c>
      <c r="F871" s="44">
        <v>720</v>
      </c>
    </row>
    <row r="872" spans="1:6">
      <c r="A872" s="318"/>
      <c r="B872" s="244" t="s">
        <v>76</v>
      </c>
      <c r="C872" s="245"/>
      <c r="D872" s="246"/>
      <c r="E872" s="46"/>
      <c r="F872" s="44"/>
    </row>
    <row r="873" spans="1:6">
      <c r="A873" s="241" t="s">
        <v>77</v>
      </c>
      <c r="B873" s="241"/>
      <c r="C873" s="241"/>
      <c r="D873" s="241"/>
      <c r="E873" s="241"/>
      <c r="F873" s="241"/>
    </row>
    <row r="874" spans="1:6">
      <c r="A874" s="211" t="s">
        <v>78</v>
      </c>
      <c r="B874" s="307" t="s">
        <v>83</v>
      </c>
      <c r="C874" s="280"/>
      <c r="D874" s="271"/>
      <c r="E874" s="21"/>
      <c r="F874" s="44"/>
    </row>
    <row r="875" spans="1:6">
      <c r="A875" s="211"/>
      <c r="B875" s="307" t="s">
        <v>15</v>
      </c>
      <c r="C875" s="280"/>
      <c r="D875" s="271"/>
      <c r="E875" s="21">
        <v>145</v>
      </c>
      <c r="F875" s="44">
        <v>720</v>
      </c>
    </row>
    <row r="876" spans="1:6">
      <c r="A876" s="211"/>
      <c r="B876" s="307" t="s">
        <v>84</v>
      </c>
      <c r="C876" s="280"/>
      <c r="D876" s="271"/>
      <c r="E876" s="21"/>
      <c r="F876" s="44"/>
    </row>
    <row r="877" spans="1:6">
      <c r="A877" s="211"/>
      <c r="B877" s="307" t="s">
        <v>85</v>
      </c>
      <c r="C877" s="280"/>
      <c r="D877" s="271"/>
      <c r="E877" s="21"/>
      <c r="F877" s="44"/>
    </row>
    <row r="878" spans="1:6">
      <c r="A878" s="211"/>
      <c r="B878" s="307" t="s">
        <v>86</v>
      </c>
      <c r="C878" s="280"/>
      <c r="D878" s="271"/>
      <c r="E878" s="21"/>
      <c r="F878" s="44"/>
    </row>
    <row r="879" spans="1:6">
      <c r="A879" s="211"/>
      <c r="B879" s="307" t="s">
        <v>87</v>
      </c>
      <c r="C879" s="280"/>
      <c r="D879" s="271"/>
      <c r="E879" s="21"/>
      <c r="F879" s="44"/>
    </row>
    <row r="880" spans="1:6">
      <c r="A880" s="211"/>
      <c r="B880" s="307" t="s">
        <v>88</v>
      </c>
      <c r="C880" s="280"/>
      <c r="D880" s="271"/>
      <c r="E880" s="21"/>
      <c r="F880" s="44"/>
    </row>
    <row r="881" spans="1:6">
      <c r="A881" s="211" t="s">
        <v>79</v>
      </c>
      <c r="B881" s="307" t="s">
        <v>89</v>
      </c>
      <c r="C881" s="280"/>
      <c r="D881" s="271"/>
      <c r="E881" s="21">
        <v>1</v>
      </c>
      <c r="F881" s="44">
        <v>90</v>
      </c>
    </row>
    <row r="882" spans="1:6">
      <c r="A882" s="211"/>
      <c r="B882" s="307" t="s">
        <v>90</v>
      </c>
      <c r="C882" s="280"/>
      <c r="D882" s="271"/>
      <c r="E882" s="21"/>
      <c r="F882" s="44"/>
    </row>
    <row r="883" spans="1:6">
      <c r="A883" s="211"/>
      <c r="B883" s="307" t="s">
        <v>91</v>
      </c>
      <c r="C883" s="280"/>
      <c r="D883" s="271"/>
      <c r="E883" s="21"/>
      <c r="F883" s="44"/>
    </row>
    <row r="884" spans="1:6">
      <c r="A884" s="211"/>
      <c r="B884" s="307" t="s">
        <v>92</v>
      </c>
      <c r="C884" s="280"/>
      <c r="D884" s="271"/>
      <c r="E884" s="21">
        <v>3</v>
      </c>
      <c r="F884" s="44">
        <v>300</v>
      </c>
    </row>
    <row r="885" spans="1:6">
      <c r="A885" s="211"/>
      <c r="B885" s="307" t="s">
        <v>93</v>
      </c>
      <c r="C885" s="280"/>
      <c r="D885" s="271"/>
      <c r="E885" s="21"/>
      <c r="F885" s="44"/>
    </row>
    <row r="886" spans="1:6">
      <c r="A886" s="211"/>
      <c r="B886" s="307" t="s">
        <v>94</v>
      </c>
      <c r="C886" s="280"/>
      <c r="D886" s="271"/>
      <c r="E886" s="21"/>
      <c r="F886" s="44"/>
    </row>
    <row r="887" spans="1:6">
      <c r="A887" s="211"/>
      <c r="B887" s="307" t="s">
        <v>95</v>
      </c>
      <c r="C887" s="280"/>
      <c r="D887" s="271"/>
      <c r="E887" s="21"/>
      <c r="F887" s="44"/>
    </row>
    <row r="888" spans="1:6">
      <c r="A888" s="211"/>
      <c r="B888" s="307" t="s">
        <v>96</v>
      </c>
      <c r="C888" s="280"/>
      <c r="D888" s="271"/>
      <c r="E888" s="21"/>
      <c r="F888" s="44"/>
    </row>
    <row r="889" spans="1:6">
      <c r="A889" s="211"/>
      <c r="B889" s="307" t="s">
        <v>97</v>
      </c>
      <c r="C889" s="280"/>
      <c r="D889" s="271"/>
      <c r="E889" s="21"/>
      <c r="F889" s="44"/>
    </row>
    <row r="890" spans="1:6">
      <c r="A890" s="211"/>
      <c r="B890" s="307" t="s">
        <v>98</v>
      </c>
      <c r="C890" s="280"/>
      <c r="D890" s="271"/>
      <c r="E890" s="21"/>
      <c r="F890" s="44"/>
    </row>
    <row r="891" spans="1:6">
      <c r="A891" s="211"/>
      <c r="B891" s="270" t="s">
        <v>132</v>
      </c>
      <c r="C891" s="280"/>
      <c r="D891" s="271"/>
      <c r="E891" s="21">
        <v>1</v>
      </c>
      <c r="F891" s="44">
        <v>100</v>
      </c>
    </row>
    <row r="892" spans="1:6">
      <c r="A892" s="211"/>
      <c r="B892" s="307" t="s">
        <v>100</v>
      </c>
      <c r="C892" s="280"/>
      <c r="D892" s="271"/>
      <c r="E892" s="21"/>
      <c r="F892" s="44"/>
    </row>
    <row r="893" spans="1:6">
      <c r="A893" s="39" t="s">
        <v>80</v>
      </c>
      <c r="B893" s="262" t="s">
        <v>101</v>
      </c>
      <c r="C893" s="319"/>
      <c r="D893" s="263"/>
      <c r="E893" s="21"/>
      <c r="F893" s="44"/>
    </row>
    <row r="894" spans="1:6">
      <c r="A894" s="211" t="s">
        <v>81</v>
      </c>
      <c r="B894" s="314" t="s">
        <v>102</v>
      </c>
      <c r="C894" s="208"/>
      <c r="D894" s="209"/>
      <c r="E894" s="21">
        <v>1</v>
      </c>
      <c r="F894" s="44">
        <v>270</v>
      </c>
    </row>
    <row r="895" spans="1:6">
      <c r="A895" s="211"/>
      <c r="B895" s="207" t="s">
        <v>135</v>
      </c>
      <c r="C895" s="294"/>
      <c r="D895" s="274"/>
      <c r="E895" s="21">
        <v>1</v>
      </c>
      <c r="F895" s="44">
        <v>1302</v>
      </c>
    </row>
    <row r="896" spans="1:6">
      <c r="A896" s="233"/>
      <c r="B896" s="207" t="s">
        <v>110</v>
      </c>
      <c r="C896" s="294"/>
      <c r="D896" s="274"/>
      <c r="E896" s="44">
        <v>2</v>
      </c>
      <c r="F896" s="44">
        <f>900*3</f>
        <v>2700</v>
      </c>
    </row>
    <row r="897" spans="1:6">
      <c r="A897" s="211" t="s">
        <v>82</v>
      </c>
      <c r="B897" s="307" t="s">
        <v>103</v>
      </c>
      <c r="C897" s="280"/>
      <c r="D897" s="271"/>
      <c r="E897" s="21"/>
      <c r="F897" s="44"/>
    </row>
    <row r="898" spans="1:6">
      <c r="A898" s="211"/>
      <c r="B898" s="307" t="s">
        <v>104</v>
      </c>
      <c r="C898" s="280"/>
      <c r="D898" s="271"/>
      <c r="E898" s="21"/>
      <c r="F898" s="44"/>
    </row>
    <row r="899" spans="1:6">
      <c r="A899" s="211"/>
      <c r="B899" s="307" t="s">
        <v>105</v>
      </c>
      <c r="C899" s="280"/>
      <c r="D899" s="271"/>
      <c r="E899" s="21"/>
      <c r="F899" s="44"/>
    </row>
    <row r="900" spans="1:6">
      <c r="A900" s="211"/>
      <c r="B900" s="207" t="s">
        <v>115</v>
      </c>
      <c r="C900" s="208"/>
      <c r="D900" s="209"/>
      <c r="E900" s="21"/>
      <c r="F900" s="44"/>
    </row>
    <row r="901" spans="1:6">
      <c r="A901" s="211"/>
      <c r="B901" s="307" t="s">
        <v>106</v>
      </c>
      <c r="C901" s="280"/>
      <c r="D901" s="271"/>
      <c r="E901" s="21"/>
      <c r="F901" s="44"/>
    </row>
    <row r="902" spans="1:6">
      <c r="A902" s="211"/>
      <c r="B902" s="270" t="s">
        <v>114</v>
      </c>
      <c r="C902" s="280"/>
      <c r="D902" s="271"/>
      <c r="E902" s="21">
        <v>1</v>
      </c>
      <c r="F902" s="44">
        <v>270</v>
      </c>
    </row>
    <row r="903" spans="1:6">
      <c r="F903" s="10">
        <f>SUM(F815:F902)</f>
        <v>14500</v>
      </c>
    </row>
    <row r="907" spans="1:6">
      <c r="A907" s="340" t="s">
        <v>116</v>
      </c>
      <c r="B907" s="340"/>
      <c r="C907" s="340"/>
      <c r="D907" s="340"/>
      <c r="E907" s="340"/>
      <c r="F907" s="340"/>
    </row>
    <row r="908" spans="1:6">
      <c r="A908" s="19"/>
      <c r="B908" s="19"/>
      <c r="C908" s="19" t="s">
        <v>118</v>
      </c>
      <c r="D908" s="37" t="s">
        <v>136</v>
      </c>
      <c r="E908" s="6"/>
      <c r="F908" s="45"/>
    </row>
    <row r="909" spans="1:6">
      <c r="A909" s="1"/>
      <c r="B909" s="19"/>
      <c r="C909" s="19" t="s">
        <v>0</v>
      </c>
      <c r="D909" s="34">
        <f>kpl!B3*194*100</f>
        <v>6208000</v>
      </c>
      <c r="E909" s="6"/>
      <c r="F909" s="11"/>
    </row>
    <row r="910" spans="1:6">
      <c r="A910" s="19"/>
      <c r="B910" s="19"/>
      <c r="C910" s="19" t="s">
        <v>2</v>
      </c>
      <c r="D910" s="35">
        <f>D909*1/9</f>
        <v>689777.77777777775</v>
      </c>
      <c r="E910" s="6"/>
      <c r="F910" s="22"/>
    </row>
    <row r="911" spans="1:6">
      <c r="A911" s="7"/>
      <c r="B911" s="19"/>
      <c r="C911" s="19" t="s">
        <v>3</v>
      </c>
      <c r="D911" s="35">
        <f>SUM(D909:D910)</f>
        <v>6897777.777777778</v>
      </c>
      <c r="E911" s="6"/>
      <c r="F911" s="11"/>
    </row>
    <row r="912" spans="1:6">
      <c r="A912" s="7"/>
      <c r="B912" s="19"/>
      <c r="C912" s="19" t="s">
        <v>4</v>
      </c>
      <c r="D912" s="35">
        <f>D911*0.06</f>
        <v>413866.66666666669</v>
      </c>
      <c r="E912" s="6"/>
      <c r="F912" s="11"/>
    </row>
    <row r="913" spans="1:6">
      <c r="A913" s="7"/>
      <c r="B913" s="19"/>
      <c r="C913" s="19" t="s">
        <v>5</v>
      </c>
      <c r="D913" s="36">
        <f>SUM(D911:D912)</f>
        <v>7311644.444444445</v>
      </c>
      <c r="E913" s="6"/>
      <c r="F913" s="11"/>
    </row>
    <row r="914" spans="1:6" ht="28.8">
      <c r="A914" s="41" t="s">
        <v>18</v>
      </c>
      <c r="B914" s="341" t="s">
        <v>6</v>
      </c>
      <c r="C914" s="342"/>
      <c r="D914" s="343"/>
      <c r="E914" s="40" t="s">
        <v>111</v>
      </c>
      <c r="F914" s="40" t="s">
        <v>112</v>
      </c>
    </row>
    <row r="915" spans="1:6">
      <c r="A915" s="189" t="s">
        <v>40</v>
      </c>
      <c r="B915" s="189"/>
      <c r="C915" s="189"/>
      <c r="D915" s="189"/>
      <c r="E915" s="189"/>
      <c r="F915" s="189"/>
    </row>
    <row r="916" spans="1:6">
      <c r="A916" s="281" t="s">
        <v>19</v>
      </c>
      <c r="B916" s="314" t="s">
        <v>20</v>
      </c>
      <c r="C916" s="208"/>
      <c r="D916" s="209"/>
      <c r="E916" s="42"/>
      <c r="F916" s="44"/>
    </row>
    <row r="917" spans="1:6">
      <c r="A917" s="281"/>
      <c r="B917" s="314" t="s">
        <v>21</v>
      </c>
      <c r="C917" s="208"/>
      <c r="D917" s="209"/>
      <c r="E917" s="42"/>
      <c r="F917" s="44"/>
    </row>
    <row r="918" spans="1:6">
      <c r="A918" s="281"/>
      <c r="B918" s="314" t="s">
        <v>22</v>
      </c>
      <c r="C918" s="208"/>
      <c r="D918" s="209"/>
      <c r="E918" s="42"/>
      <c r="F918" s="44"/>
    </row>
    <row r="919" spans="1:6">
      <c r="A919" s="281"/>
      <c r="B919" s="314" t="s">
        <v>23</v>
      </c>
      <c r="C919" s="208"/>
      <c r="D919" s="209"/>
      <c r="E919" s="42"/>
      <c r="F919" s="44"/>
    </row>
    <row r="920" spans="1:6">
      <c r="A920" s="281"/>
      <c r="B920" s="314" t="s">
        <v>12</v>
      </c>
      <c r="C920" s="208"/>
      <c r="D920" s="209"/>
      <c r="E920" s="42"/>
      <c r="F920" s="44"/>
    </row>
    <row r="921" spans="1:6">
      <c r="A921" s="281"/>
      <c r="B921" s="314" t="s">
        <v>24</v>
      </c>
      <c r="C921" s="208"/>
      <c r="D921" s="209"/>
      <c r="E921" s="42"/>
      <c r="F921" s="44"/>
    </row>
    <row r="922" spans="1:6">
      <c r="A922" s="281" t="s">
        <v>25</v>
      </c>
      <c r="B922" s="272" t="s">
        <v>17</v>
      </c>
      <c r="C922" s="297"/>
      <c r="D922" s="273"/>
      <c r="E922" s="21">
        <v>1</v>
      </c>
      <c r="F922" s="44">
        <v>2700</v>
      </c>
    </row>
    <row r="923" spans="1:6">
      <c r="A923" s="281"/>
      <c r="B923" s="307" t="s">
        <v>16</v>
      </c>
      <c r="C923" s="280"/>
      <c r="D923" s="271"/>
      <c r="E923" s="21"/>
      <c r="F923" s="44"/>
    </row>
    <row r="924" spans="1:6">
      <c r="A924" s="281"/>
      <c r="B924" s="307" t="s">
        <v>28</v>
      </c>
      <c r="C924" s="280"/>
      <c r="D924" s="271"/>
      <c r="E924" s="21"/>
      <c r="F924" s="44"/>
    </row>
    <row r="925" spans="1:6">
      <c r="A925" s="281"/>
      <c r="B925" s="247" t="s">
        <v>11</v>
      </c>
      <c r="C925" s="248"/>
      <c r="D925" s="249"/>
      <c r="E925" s="21">
        <v>1</v>
      </c>
      <c r="F925" s="44">
        <v>2700</v>
      </c>
    </row>
    <row r="926" spans="1:6">
      <c r="A926" s="281"/>
      <c r="B926" s="247" t="s">
        <v>29</v>
      </c>
      <c r="C926" s="248"/>
      <c r="D926" s="249"/>
      <c r="E926" s="21"/>
      <c r="F926" s="44"/>
    </row>
    <row r="927" spans="1:6">
      <c r="A927" s="336" t="s">
        <v>26</v>
      </c>
      <c r="B927" s="337" t="s">
        <v>108</v>
      </c>
      <c r="C927" s="338"/>
      <c r="D927" s="339"/>
      <c r="E927" s="21"/>
      <c r="F927" s="44"/>
    </row>
    <row r="928" spans="1:6">
      <c r="A928" s="336"/>
      <c r="B928" s="247" t="s">
        <v>30</v>
      </c>
      <c r="C928" s="248"/>
      <c r="D928" s="249"/>
      <c r="E928" s="21"/>
      <c r="F928" s="44"/>
    </row>
    <row r="929" spans="1:6">
      <c r="A929" s="281" t="s">
        <v>27</v>
      </c>
      <c r="B929" s="307" t="s">
        <v>31</v>
      </c>
      <c r="C929" s="280"/>
      <c r="D929" s="271"/>
      <c r="E929" s="21">
        <v>1</v>
      </c>
      <c r="F929" s="44">
        <v>360</v>
      </c>
    </row>
    <row r="930" spans="1:6">
      <c r="A930" s="281"/>
      <c r="B930" s="307" t="s">
        <v>32</v>
      </c>
      <c r="C930" s="280"/>
      <c r="D930" s="271"/>
      <c r="E930" s="21"/>
      <c r="F930" s="44"/>
    </row>
    <row r="931" spans="1:6">
      <c r="A931" s="281" t="s">
        <v>13</v>
      </c>
      <c r="B931" s="307" t="s">
        <v>9</v>
      </c>
      <c r="C931" s="280"/>
      <c r="D931" s="271"/>
      <c r="E931" s="21">
        <v>1</v>
      </c>
      <c r="F931" s="44">
        <v>720</v>
      </c>
    </row>
    <row r="932" spans="1:6">
      <c r="A932" s="281"/>
      <c r="B932" s="307" t="s">
        <v>33</v>
      </c>
      <c r="C932" s="280"/>
      <c r="D932" s="271"/>
      <c r="E932" s="21"/>
      <c r="F932" s="44"/>
    </row>
    <row r="933" spans="1:6">
      <c r="A933" s="281"/>
      <c r="B933" s="307" t="s">
        <v>34</v>
      </c>
      <c r="C933" s="280"/>
      <c r="D933" s="271"/>
      <c r="E933" s="21"/>
      <c r="F933" s="44"/>
    </row>
    <row r="934" spans="1:6">
      <c r="A934" s="281"/>
      <c r="B934" s="307" t="s">
        <v>35</v>
      </c>
      <c r="C934" s="280"/>
      <c r="D934" s="271"/>
      <c r="E934" s="21"/>
      <c r="F934" s="44"/>
    </row>
    <row r="935" spans="1:6">
      <c r="A935" s="43" t="s">
        <v>8</v>
      </c>
      <c r="B935" s="244" t="s">
        <v>38</v>
      </c>
      <c r="C935" s="245"/>
      <c r="D935" s="246"/>
      <c r="E935" s="21"/>
      <c r="F935" s="44"/>
    </row>
    <row r="936" spans="1:6">
      <c r="A936" s="188" t="s">
        <v>39</v>
      </c>
      <c r="B936" s="188"/>
      <c r="C936" s="188"/>
      <c r="D936" s="188"/>
      <c r="E936" s="188"/>
      <c r="F936" s="188"/>
    </row>
    <row r="937" spans="1:6">
      <c r="A937" s="211" t="s">
        <v>41</v>
      </c>
      <c r="B937" s="307" t="s">
        <v>47</v>
      </c>
      <c r="C937" s="280"/>
      <c r="D937" s="271"/>
      <c r="E937" s="21"/>
      <c r="F937" s="44"/>
    </row>
    <row r="938" spans="1:6">
      <c r="A938" s="211"/>
      <c r="B938" s="307" t="s">
        <v>48</v>
      </c>
      <c r="C938" s="280"/>
      <c r="D938" s="271"/>
      <c r="E938" s="21"/>
      <c r="F938" s="44"/>
    </row>
    <row r="939" spans="1:6">
      <c r="A939" s="211"/>
      <c r="B939" s="307" t="s">
        <v>49</v>
      </c>
      <c r="C939" s="280"/>
      <c r="D939" s="271"/>
      <c r="E939" s="21"/>
      <c r="F939" s="44"/>
    </row>
    <row r="940" spans="1:6">
      <c r="A940" s="211"/>
      <c r="B940" s="307" t="s">
        <v>50</v>
      </c>
      <c r="C940" s="280"/>
      <c r="D940" s="271"/>
      <c r="E940" s="21"/>
      <c r="F940" s="44"/>
    </row>
    <row r="941" spans="1:6">
      <c r="A941" s="211"/>
      <c r="B941" s="307" t="s">
        <v>51</v>
      </c>
      <c r="C941" s="280"/>
      <c r="D941" s="271"/>
      <c r="E941" s="21"/>
      <c r="F941" s="44"/>
    </row>
    <row r="942" spans="1:6">
      <c r="A942" s="211"/>
      <c r="B942" s="270" t="s">
        <v>52</v>
      </c>
      <c r="C942" s="279"/>
      <c r="D942" s="278"/>
      <c r="E942" s="21"/>
      <c r="F942" s="44"/>
    </row>
    <row r="943" spans="1:6">
      <c r="A943" s="211"/>
      <c r="B943" s="307" t="s">
        <v>12</v>
      </c>
      <c r="C943" s="280"/>
      <c r="D943" s="271"/>
      <c r="E943" s="21"/>
      <c r="F943" s="44"/>
    </row>
    <row r="944" spans="1:6">
      <c r="A944" s="211"/>
      <c r="B944" s="247" t="s">
        <v>8</v>
      </c>
      <c r="C944" s="248"/>
      <c r="D944" s="249"/>
      <c r="E944" s="21">
        <v>5</v>
      </c>
      <c r="F944" s="44">
        <f>900*E944</f>
        <v>4500</v>
      </c>
    </row>
    <row r="945" spans="1:6">
      <c r="A945" s="211" t="s">
        <v>42</v>
      </c>
      <c r="B945" s="307" t="s">
        <v>53</v>
      </c>
      <c r="C945" s="280"/>
      <c r="D945" s="271"/>
      <c r="E945" s="21"/>
      <c r="F945" s="44"/>
    </row>
    <row r="946" spans="1:6">
      <c r="A946" s="211"/>
      <c r="B946" s="307" t="s">
        <v>54</v>
      </c>
      <c r="C946" s="280"/>
      <c r="D946" s="271"/>
      <c r="E946" s="21"/>
      <c r="F946" s="44"/>
    </row>
    <row r="947" spans="1:6">
      <c r="A947" s="211"/>
      <c r="B947" s="307" t="s">
        <v>55</v>
      </c>
      <c r="C947" s="280"/>
      <c r="D947" s="271"/>
      <c r="E947" s="21"/>
      <c r="F947" s="44"/>
    </row>
    <row r="948" spans="1:6">
      <c r="A948" s="211"/>
      <c r="B948" s="307" t="s">
        <v>34</v>
      </c>
      <c r="C948" s="280"/>
      <c r="D948" s="271"/>
      <c r="E948" s="21"/>
      <c r="F948" s="44"/>
    </row>
    <row r="949" spans="1:6">
      <c r="A949" s="211"/>
      <c r="B949" s="307" t="s">
        <v>56</v>
      </c>
      <c r="C949" s="280"/>
      <c r="D949" s="271"/>
      <c r="E949" s="21"/>
      <c r="F949" s="44"/>
    </row>
    <row r="950" spans="1:6">
      <c r="A950" s="211"/>
      <c r="B950" s="307" t="s">
        <v>57</v>
      </c>
      <c r="C950" s="280"/>
      <c r="D950" s="271"/>
      <c r="E950" s="21"/>
      <c r="F950" s="44"/>
    </row>
    <row r="951" spans="1:6">
      <c r="A951" s="211"/>
      <c r="B951" s="307" t="s">
        <v>58</v>
      </c>
      <c r="C951" s="280"/>
      <c r="D951" s="271"/>
      <c r="E951" s="21"/>
      <c r="F951" s="44"/>
    </row>
    <row r="952" spans="1:6">
      <c r="A952" s="211" t="s">
        <v>43</v>
      </c>
      <c r="B952" s="307" t="s">
        <v>36</v>
      </c>
      <c r="C952" s="280"/>
      <c r="D952" s="271"/>
      <c r="E952" s="21"/>
      <c r="F952" s="44"/>
    </row>
    <row r="953" spans="1:6">
      <c r="A953" s="211"/>
      <c r="B953" s="307" t="s">
        <v>59</v>
      </c>
      <c r="C953" s="280"/>
      <c r="D953" s="271"/>
      <c r="E953" s="21"/>
      <c r="F953" s="44"/>
    </row>
    <row r="954" spans="1:6">
      <c r="A954" s="211"/>
      <c r="B954" s="307" t="s">
        <v>37</v>
      </c>
      <c r="C954" s="280"/>
      <c r="D954" s="271"/>
      <c r="E954" s="21"/>
      <c r="F954" s="44"/>
    </row>
    <row r="955" spans="1:6">
      <c r="A955" s="211"/>
      <c r="B955" s="307" t="s">
        <v>60</v>
      </c>
      <c r="C955" s="280"/>
      <c r="D955" s="271"/>
      <c r="E955" s="21"/>
      <c r="F955" s="44"/>
    </row>
    <row r="956" spans="1:6">
      <c r="A956" s="211"/>
      <c r="B956" s="307" t="s">
        <v>61</v>
      </c>
      <c r="C956" s="280"/>
      <c r="D956" s="271"/>
      <c r="E956" s="21"/>
      <c r="F956" s="44"/>
    </row>
    <row r="957" spans="1:6" ht="28.8">
      <c r="A957" s="25" t="s">
        <v>44</v>
      </c>
      <c r="B957" s="314" t="s">
        <v>62</v>
      </c>
      <c r="C957" s="208"/>
      <c r="D957" s="209"/>
      <c r="E957" s="21"/>
      <c r="F957" s="44"/>
    </row>
    <row r="958" spans="1:6">
      <c r="A958" s="211" t="s">
        <v>45</v>
      </c>
      <c r="B958" s="307" t="s">
        <v>63</v>
      </c>
      <c r="C958" s="280"/>
      <c r="D958" s="271"/>
      <c r="E958" s="21"/>
      <c r="F958" s="44"/>
    </row>
    <row r="959" spans="1:6">
      <c r="A959" s="211"/>
      <c r="B959" s="307" t="s">
        <v>64</v>
      </c>
      <c r="C959" s="280"/>
      <c r="D959" s="271"/>
      <c r="E959" s="21"/>
      <c r="F959" s="44"/>
    </row>
    <row r="960" spans="1:6">
      <c r="A960" s="211"/>
      <c r="B960" s="307" t="s">
        <v>65</v>
      </c>
      <c r="C960" s="280"/>
      <c r="D960" s="271"/>
      <c r="E960" s="21"/>
      <c r="F960" s="44"/>
    </row>
    <row r="961" spans="1:6">
      <c r="A961" s="211"/>
      <c r="B961" s="307" t="s">
        <v>66</v>
      </c>
      <c r="C961" s="280"/>
      <c r="D961" s="271"/>
      <c r="E961" s="21"/>
      <c r="F961" s="44"/>
    </row>
    <row r="962" spans="1:6">
      <c r="A962" s="211"/>
      <c r="B962" s="307" t="s">
        <v>67</v>
      </c>
      <c r="C962" s="280"/>
      <c r="D962" s="271"/>
      <c r="E962" s="21">
        <v>20</v>
      </c>
      <c r="F962" s="44">
        <f>E962*180</f>
        <v>3600</v>
      </c>
    </row>
    <row r="963" spans="1:6">
      <c r="A963" s="211"/>
      <c r="B963" s="307" t="s">
        <v>68</v>
      </c>
      <c r="C963" s="280"/>
      <c r="D963" s="271"/>
      <c r="E963" s="21">
        <v>20</v>
      </c>
      <c r="F963" s="44">
        <f>E963*180</f>
        <v>3600</v>
      </c>
    </row>
    <row r="964" spans="1:6">
      <c r="A964" s="211" t="s">
        <v>46</v>
      </c>
      <c r="B964" s="307" t="s">
        <v>69</v>
      </c>
      <c r="C964" s="280"/>
      <c r="D964" s="271"/>
      <c r="E964" s="21">
        <v>8</v>
      </c>
      <c r="F964" s="44">
        <f>E964*180</f>
        <v>1440</v>
      </c>
    </row>
    <row r="965" spans="1:6">
      <c r="A965" s="211"/>
      <c r="B965" s="307" t="s">
        <v>70</v>
      </c>
      <c r="C965" s="280"/>
      <c r="D965" s="271"/>
      <c r="E965" s="21"/>
      <c r="F965" s="44"/>
    </row>
    <row r="966" spans="1:6">
      <c r="A966" s="188" t="s">
        <v>71</v>
      </c>
      <c r="B966" s="188"/>
      <c r="C966" s="188"/>
      <c r="D966" s="188"/>
      <c r="E966" s="188"/>
      <c r="F966" s="188"/>
    </row>
    <row r="967" spans="1:6">
      <c r="A967" s="211" t="s">
        <v>72</v>
      </c>
      <c r="B967" s="307" t="s">
        <v>54</v>
      </c>
      <c r="C967" s="280"/>
      <c r="D967" s="271"/>
      <c r="E967" s="42"/>
      <c r="F967" s="44"/>
    </row>
    <row r="968" spans="1:6">
      <c r="A968" s="211"/>
      <c r="B968" s="307" t="s">
        <v>55</v>
      </c>
      <c r="C968" s="280"/>
      <c r="D968" s="271"/>
      <c r="E968" s="42"/>
      <c r="F968" s="44"/>
    </row>
    <row r="969" spans="1:6">
      <c r="A969" s="211"/>
      <c r="B969" s="307" t="s">
        <v>64</v>
      </c>
      <c r="C969" s="280"/>
      <c r="D969" s="271"/>
      <c r="E969" s="42"/>
      <c r="F969" s="44"/>
    </row>
    <row r="970" spans="1:6">
      <c r="A970" s="211"/>
      <c r="B970" s="307" t="s">
        <v>66</v>
      </c>
      <c r="C970" s="280"/>
      <c r="D970" s="271"/>
      <c r="E970" s="42"/>
      <c r="F970" s="44"/>
    </row>
    <row r="971" spans="1:6">
      <c r="A971" s="316" t="s">
        <v>73</v>
      </c>
      <c r="B971" s="314" t="s">
        <v>74</v>
      </c>
      <c r="C971" s="208"/>
      <c r="D971" s="209"/>
      <c r="E971" s="42"/>
      <c r="F971" s="44"/>
    </row>
    <row r="972" spans="1:6">
      <c r="A972" s="317"/>
      <c r="B972" s="314" t="s">
        <v>75</v>
      </c>
      <c r="C972" s="208"/>
      <c r="D972" s="209"/>
      <c r="E972" s="42"/>
      <c r="F972" s="44"/>
    </row>
    <row r="973" spans="1:6">
      <c r="A973" s="318"/>
      <c r="B973" s="244" t="s">
        <v>76</v>
      </c>
      <c r="C973" s="245"/>
      <c r="D973" s="246"/>
      <c r="E973" s="46"/>
      <c r="F973" s="44"/>
    </row>
    <row r="974" spans="1:6">
      <c r="A974" s="241" t="s">
        <v>77</v>
      </c>
      <c r="B974" s="241"/>
      <c r="C974" s="241"/>
      <c r="D974" s="241"/>
      <c r="E974" s="241"/>
      <c r="F974" s="241"/>
    </row>
    <row r="975" spans="1:6">
      <c r="A975" s="211" t="s">
        <v>78</v>
      </c>
      <c r="B975" s="307" t="s">
        <v>83</v>
      </c>
      <c r="C975" s="280"/>
      <c r="D975" s="271"/>
      <c r="E975" s="21"/>
      <c r="F975" s="44"/>
    </row>
    <row r="976" spans="1:6">
      <c r="A976" s="211"/>
      <c r="B976" s="307" t="s">
        <v>15</v>
      </c>
      <c r="C976" s="280"/>
      <c r="D976" s="271"/>
      <c r="E976" s="21"/>
      <c r="F976" s="44"/>
    </row>
    <row r="977" spans="1:6">
      <c r="A977" s="211"/>
      <c r="B977" s="307" t="s">
        <v>84</v>
      </c>
      <c r="C977" s="280"/>
      <c r="D977" s="271"/>
      <c r="E977" s="21"/>
      <c r="F977" s="44"/>
    </row>
    <row r="978" spans="1:6">
      <c r="A978" s="211"/>
      <c r="B978" s="307" t="s">
        <v>85</v>
      </c>
      <c r="C978" s="280"/>
      <c r="D978" s="271"/>
      <c r="E978" s="21">
        <v>20</v>
      </c>
      <c r="F978" s="44">
        <f>E978*55</f>
        <v>1100</v>
      </c>
    </row>
    <row r="979" spans="1:6">
      <c r="A979" s="211"/>
      <c r="B979" s="270" t="s">
        <v>137</v>
      </c>
      <c r="C979" s="280"/>
      <c r="D979" s="271"/>
      <c r="E979" s="21">
        <v>2</v>
      </c>
      <c r="F979" s="44">
        <f>720*E979</f>
        <v>1440</v>
      </c>
    </row>
    <row r="980" spans="1:6">
      <c r="A980" s="211"/>
      <c r="B980" s="307" t="s">
        <v>87</v>
      </c>
      <c r="C980" s="280"/>
      <c r="D980" s="271"/>
      <c r="E980" s="21"/>
      <c r="F980" s="44"/>
    </row>
    <row r="981" spans="1:6">
      <c r="A981" s="211"/>
      <c r="B981" s="307" t="s">
        <v>88</v>
      </c>
      <c r="C981" s="280"/>
      <c r="D981" s="271"/>
      <c r="E981" s="21"/>
      <c r="F981" s="44"/>
    </row>
    <row r="982" spans="1:6">
      <c r="A982" s="211" t="s">
        <v>79</v>
      </c>
      <c r="B982" s="307" t="s">
        <v>89</v>
      </c>
      <c r="C982" s="280"/>
      <c r="D982" s="271"/>
      <c r="E982" s="21">
        <v>5</v>
      </c>
      <c r="F982" s="44">
        <f>E982*20</f>
        <v>100</v>
      </c>
    </row>
    <row r="983" spans="1:6">
      <c r="A983" s="211"/>
      <c r="B983" s="307" t="s">
        <v>90</v>
      </c>
      <c r="C983" s="280"/>
      <c r="D983" s="271"/>
      <c r="E983" s="21"/>
      <c r="F983" s="44"/>
    </row>
    <row r="984" spans="1:6">
      <c r="A984" s="211"/>
      <c r="B984" s="307" t="s">
        <v>91</v>
      </c>
      <c r="C984" s="280"/>
      <c r="D984" s="271"/>
      <c r="E984" s="21"/>
      <c r="F984" s="44"/>
    </row>
    <row r="985" spans="1:6">
      <c r="A985" s="211"/>
      <c r="B985" s="307" t="s">
        <v>92</v>
      </c>
      <c r="C985" s="280"/>
      <c r="D985" s="271"/>
      <c r="E985" s="21">
        <v>5</v>
      </c>
      <c r="F985" s="44">
        <v>500</v>
      </c>
    </row>
    <row r="986" spans="1:6">
      <c r="A986" s="211"/>
      <c r="B986" s="307" t="s">
        <v>93</v>
      </c>
      <c r="C986" s="280"/>
      <c r="D986" s="271"/>
      <c r="E986" s="21"/>
      <c r="F986" s="44"/>
    </row>
    <row r="987" spans="1:6">
      <c r="A987" s="211"/>
      <c r="B987" s="307" t="s">
        <v>94</v>
      </c>
      <c r="C987" s="280"/>
      <c r="D987" s="271"/>
      <c r="E987" s="21"/>
      <c r="F987" s="44"/>
    </row>
    <row r="988" spans="1:6">
      <c r="A988" s="211"/>
      <c r="B988" s="307" t="s">
        <v>95</v>
      </c>
      <c r="C988" s="280"/>
      <c r="D988" s="271"/>
      <c r="E988" s="21"/>
      <c r="F988" s="44"/>
    </row>
    <row r="989" spans="1:6">
      <c r="A989" s="211"/>
      <c r="B989" s="307" t="s">
        <v>96</v>
      </c>
      <c r="C989" s="280"/>
      <c r="D989" s="271"/>
      <c r="E989" s="21"/>
      <c r="F989" s="44"/>
    </row>
    <row r="990" spans="1:6">
      <c r="A990" s="211"/>
      <c r="B990" s="307" t="s">
        <v>97</v>
      </c>
      <c r="C990" s="280"/>
      <c r="D990" s="271"/>
      <c r="E990" s="21"/>
      <c r="F990" s="44"/>
    </row>
    <row r="991" spans="1:6">
      <c r="A991" s="211"/>
      <c r="B991" s="307" t="s">
        <v>98</v>
      </c>
      <c r="C991" s="280"/>
      <c r="D991" s="271"/>
      <c r="E991" s="21"/>
      <c r="F991" s="44"/>
    </row>
    <row r="992" spans="1:6">
      <c r="A992" s="211"/>
      <c r="B992" s="270" t="s">
        <v>138</v>
      </c>
      <c r="C992" s="280"/>
      <c r="D992" s="271"/>
      <c r="E992" s="21">
        <v>6</v>
      </c>
      <c r="F992" s="44">
        <f>E992*45</f>
        <v>270</v>
      </c>
    </row>
    <row r="993" spans="1:6">
      <c r="A993" s="211"/>
      <c r="B993" s="307" t="s">
        <v>100</v>
      </c>
      <c r="C993" s="280"/>
      <c r="D993" s="271"/>
      <c r="E993" s="21"/>
      <c r="F993" s="44"/>
    </row>
    <row r="994" spans="1:6">
      <c r="A994" s="39" t="s">
        <v>80</v>
      </c>
      <c r="B994" s="262" t="s">
        <v>101</v>
      </c>
      <c r="C994" s="319"/>
      <c r="D994" s="263"/>
      <c r="E994" s="21">
        <v>1</v>
      </c>
      <c r="F994" s="44">
        <v>1800</v>
      </c>
    </row>
    <row r="995" spans="1:6">
      <c r="A995" s="211" t="s">
        <v>81</v>
      </c>
      <c r="B995" s="314" t="s">
        <v>102</v>
      </c>
      <c r="C995" s="208"/>
      <c r="D995" s="209"/>
      <c r="E995" s="21"/>
      <c r="F995" s="44"/>
    </row>
    <row r="996" spans="1:6">
      <c r="A996" s="211"/>
      <c r="B996" s="207" t="s">
        <v>113</v>
      </c>
      <c r="C996" s="294"/>
      <c r="D996" s="274"/>
      <c r="E996" s="21">
        <v>4</v>
      </c>
      <c r="F996" s="44">
        <f>E996*180</f>
        <v>720</v>
      </c>
    </row>
    <row r="997" spans="1:6">
      <c r="A997" s="233"/>
      <c r="B997" s="207" t="s">
        <v>110</v>
      </c>
      <c r="C997" s="294"/>
      <c r="D997" s="274"/>
      <c r="E997" s="44"/>
      <c r="F997" s="44"/>
    </row>
    <row r="998" spans="1:6">
      <c r="A998" s="211" t="s">
        <v>82</v>
      </c>
      <c r="B998" s="307" t="s">
        <v>103</v>
      </c>
      <c r="C998" s="280"/>
      <c r="D998" s="271"/>
      <c r="E998" s="21">
        <v>1</v>
      </c>
      <c r="F998" s="44">
        <v>2319</v>
      </c>
    </row>
    <row r="999" spans="1:6">
      <c r="A999" s="211"/>
      <c r="B999" s="307" t="s">
        <v>104</v>
      </c>
      <c r="C999" s="280"/>
      <c r="D999" s="271"/>
      <c r="E999" s="21"/>
      <c r="F999" s="44"/>
    </row>
    <row r="1000" spans="1:6">
      <c r="A1000" s="211"/>
      <c r="B1000" s="307" t="s">
        <v>105</v>
      </c>
      <c r="C1000" s="280"/>
      <c r="D1000" s="271"/>
      <c r="E1000" s="21"/>
      <c r="F1000" s="44"/>
    </row>
    <row r="1001" spans="1:6">
      <c r="A1001" s="211"/>
      <c r="B1001" s="207" t="s">
        <v>115</v>
      </c>
      <c r="C1001" s="208"/>
      <c r="D1001" s="209"/>
      <c r="E1001" s="21"/>
      <c r="F1001" s="44"/>
    </row>
    <row r="1002" spans="1:6">
      <c r="A1002" s="211"/>
      <c r="B1002" s="307" t="s">
        <v>106</v>
      </c>
      <c r="C1002" s="280"/>
      <c r="D1002" s="271"/>
      <c r="E1002" s="21">
        <v>1</v>
      </c>
      <c r="F1002" s="44">
        <v>1601</v>
      </c>
    </row>
    <row r="1003" spans="1:6">
      <c r="A1003" s="211"/>
      <c r="B1003" s="270" t="s">
        <v>139</v>
      </c>
      <c r="C1003" s="280"/>
      <c r="D1003" s="271"/>
      <c r="E1003" s="21">
        <v>1</v>
      </c>
      <c r="F1003" s="44">
        <v>1730</v>
      </c>
    </row>
    <row r="1004" spans="1:6">
      <c r="F1004" s="10">
        <f>SUM(F916:F1003)</f>
        <v>31200</v>
      </c>
    </row>
    <row r="1008" spans="1:6">
      <c r="A1008" s="340" t="s">
        <v>116</v>
      </c>
      <c r="B1008" s="340"/>
      <c r="C1008" s="340"/>
      <c r="D1008" s="340"/>
      <c r="E1008" s="340"/>
      <c r="F1008" s="340"/>
    </row>
    <row r="1009" spans="1:6">
      <c r="A1009" s="19"/>
      <c r="B1009" s="19"/>
      <c r="C1009" s="19" t="s">
        <v>118</v>
      </c>
      <c r="D1009" s="37" t="s">
        <v>140</v>
      </c>
      <c r="E1009" s="6"/>
      <c r="F1009" s="45"/>
    </row>
    <row r="1010" spans="1:6">
      <c r="A1010" s="1"/>
      <c r="B1010" s="19"/>
      <c r="C1010" s="19" t="s">
        <v>0</v>
      </c>
      <c r="D1010" s="34">
        <f>Builum!B3*194*100</f>
        <v>1881800</v>
      </c>
      <c r="E1010" s="6"/>
      <c r="F1010" s="11"/>
    </row>
    <row r="1011" spans="1:6">
      <c r="A1011" s="19"/>
      <c r="B1011" s="19"/>
      <c r="C1011" s="19" t="s">
        <v>2</v>
      </c>
      <c r="D1011" s="35">
        <f>D1010*1/9</f>
        <v>209088.88888888888</v>
      </c>
      <c r="E1011" s="6"/>
      <c r="F1011" s="22"/>
    </row>
    <row r="1012" spans="1:6">
      <c r="A1012" s="7"/>
      <c r="B1012" s="19"/>
      <c r="C1012" s="19" t="s">
        <v>3</v>
      </c>
      <c r="D1012" s="35">
        <f>SUM(D1010:D1011)</f>
        <v>2090888.888888889</v>
      </c>
      <c r="E1012" s="6"/>
      <c r="F1012" s="11"/>
    </row>
    <row r="1013" spans="1:6">
      <c r="A1013" s="7"/>
      <c r="B1013" s="19"/>
      <c r="C1013" s="19" t="s">
        <v>4</v>
      </c>
      <c r="D1013" s="35">
        <f>D1012*0.06</f>
        <v>125453.33333333333</v>
      </c>
      <c r="E1013" s="6"/>
      <c r="F1013" s="11"/>
    </row>
    <row r="1014" spans="1:6">
      <c r="A1014" s="7"/>
      <c r="B1014" s="19"/>
      <c r="C1014" s="19" t="s">
        <v>5</v>
      </c>
      <c r="D1014" s="36">
        <f>SUM(D1012:D1013)</f>
        <v>2216342.2222222225</v>
      </c>
      <c r="E1014" s="6"/>
      <c r="F1014" s="11"/>
    </row>
    <row r="1015" spans="1:6" ht="28.8">
      <c r="A1015" s="41" t="s">
        <v>18</v>
      </c>
      <c r="B1015" s="341" t="s">
        <v>6</v>
      </c>
      <c r="C1015" s="342"/>
      <c r="D1015" s="343"/>
      <c r="E1015" s="40" t="s">
        <v>111</v>
      </c>
      <c r="F1015" s="40" t="s">
        <v>112</v>
      </c>
    </row>
    <row r="1016" spans="1:6">
      <c r="A1016" s="189" t="s">
        <v>40</v>
      </c>
      <c r="B1016" s="189"/>
      <c r="C1016" s="189"/>
      <c r="D1016" s="189"/>
      <c r="E1016" s="189"/>
      <c r="F1016" s="189"/>
    </row>
    <row r="1017" spans="1:6">
      <c r="A1017" s="281" t="s">
        <v>19</v>
      </c>
      <c r="B1017" s="314" t="s">
        <v>20</v>
      </c>
      <c r="C1017" s="208"/>
      <c r="D1017" s="209"/>
      <c r="E1017" s="42">
        <v>1</v>
      </c>
      <c r="F1017" s="44">
        <v>30</v>
      </c>
    </row>
    <row r="1018" spans="1:6">
      <c r="A1018" s="281"/>
      <c r="B1018" s="314" t="s">
        <v>21</v>
      </c>
      <c r="C1018" s="208"/>
      <c r="D1018" s="209"/>
      <c r="E1018" s="42"/>
      <c r="F1018" s="44"/>
    </row>
    <row r="1019" spans="1:6">
      <c r="A1019" s="281"/>
      <c r="B1019" s="314" t="s">
        <v>22</v>
      </c>
      <c r="C1019" s="208"/>
      <c r="D1019" s="209"/>
      <c r="E1019" s="42"/>
      <c r="F1019" s="44"/>
    </row>
    <row r="1020" spans="1:6">
      <c r="A1020" s="281"/>
      <c r="B1020" s="314" t="s">
        <v>23</v>
      </c>
      <c r="C1020" s="208"/>
      <c r="D1020" s="209"/>
      <c r="E1020" s="42"/>
      <c r="F1020" s="44"/>
    </row>
    <row r="1021" spans="1:6">
      <c r="A1021" s="281"/>
      <c r="B1021" s="314" t="s">
        <v>12</v>
      </c>
      <c r="C1021" s="208"/>
      <c r="D1021" s="209"/>
      <c r="E1021" s="42"/>
      <c r="F1021" s="44"/>
    </row>
    <row r="1022" spans="1:6">
      <c r="A1022" s="281"/>
      <c r="B1022" s="314" t="s">
        <v>24</v>
      </c>
      <c r="C1022" s="208"/>
      <c r="D1022" s="209"/>
      <c r="E1022" s="42"/>
      <c r="F1022" s="44"/>
    </row>
    <row r="1023" spans="1:6">
      <c r="A1023" s="281" t="s">
        <v>25</v>
      </c>
      <c r="B1023" s="272" t="s">
        <v>17</v>
      </c>
      <c r="C1023" s="297"/>
      <c r="D1023" s="273"/>
      <c r="E1023" s="21"/>
      <c r="F1023" s="44"/>
    </row>
    <row r="1024" spans="1:6">
      <c r="A1024" s="281"/>
      <c r="B1024" s="307" t="s">
        <v>16</v>
      </c>
      <c r="C1024" s="280"/>
      <c r="D1024" s="271"/>
      <c r="E1024" s="21"/>
      <c r="F1024" s="44"/>
    </row>
    <row r="1025" spans="1:6">
      <c r="A1025" s="281"/>
      <c r="B1025" s="307" t="s">
        <v>28</v>
      </c>
      <c r="C1025" s="280"/>
      <c r="D1025" s="271"/>
      <c r="E1025" s="21"/>
      <c r="F1025" s="44"/>
    </row>
    <row r="1026" spans="1:6">
      <c r="A1026" s="281"/>
      <c r="B1026" s="247" t="s">
        <v>11</v>
      </c>
      <c r="C1026" s="248"/>
      <c r="D1026" s="249"/>
      <c r="E1026" s="21"/>
      <c r="F1026" s="44"/>
    </row>
    <row r="1027" spans="1:6">
      <c r="A1027" s="281"/>
      <c r="B1027" s="247" t="s">
        <v>29</v>
      </c>
      <c r="C1027" s="248"/>
      <c r="D1027" s="249"/>
      <c r="E1027" s="21"/>
      <c r="F1027" s="44"/>
    </row>
    <row r="1028" spans="1:6">
      <c r="A1028" s="336" t="s">
        <v>26</v>
      </c>
      <c r="B1028" s="337" t="s">
        <v>108</v>
      </c>
      <c r="C1028" s="338"/>
      <c r="D1028" s="339"/>
      <c r="E1028" s="21"/>
      <c r="F1028" s="44"/>
    </row>
    <row r="1029" spans="1:6">
      <c r="A1029" s="336"/>
      <c r="B1029" s="247" t="s">
        <v>30</v>
      </c>
      <c r="C1029" s="248"/>
      <c r="D1029" s="249"/>
      <c r="E1029" s="21"/>
      <c r="F1029" s="44"/>
    </row>
    <row r="1030" spans="1:6">
      <c r="A1030" s="281" t="s">
        <v>27</v>
      </c>
      <c r="B1030" s="307" t="s">
        <v>31</v>
      </c>
      <c r="C1030" s="280"/>
      <c r="D1030" s="271"/>
      <c r="E1030" s="21"/>
      <c r="F1030" s="44"/>
    </row>
    <row r="1031" spans="1:6">
      <c r="A1031" s="281"/>
      <c r="B1031" s="307" t="s">
        <v>32</v>
      </c>
      <c r="C1031" s="280"/>
      <c r="D1031" s="271"/>
      <c r="E1031" s="21"/>
      <c r="F1031" s="44"/>
    </row>
    <row r="1032" spans="1:6">
      <c r="A1032" s="281" t="s">
        <v>13</v>
      </c>
      <c r="B1032" s="307" t="s">
        <v>9</v>
      </c>
      <c r="C1032" s="280"/>
      <c r="D1032" s="271"/>
      <c r="E1032" s="21">
        <v>1</v>
      </c>
      <c r="F1032" s="44">
        <v>30</v>
      </c>
    </row>
    <row r="1033" spans="1:6">
      <c r="A1033" s="281"/>
      <c r="B1033" s="307" t="s">
        <v>109</v>
      </c>
      <c r="C1033" s="280"/>
      <c r="D1033" s="271"/>
      <c r="E1033" s="21">
        <v>1</v>
      </c>
      <c r="F1033" s="44">
        <v>480</v>
      </c>
    </row>
    <row r="1034" spans="1:6">
      <c r="A1034" s="281"/>
      <c r="B1034" s="307" t="s">
        <v>34</v>
      </c>
      <c r="C1034" s="280"/>
      <c r="D1034" s="271"/>
      <c r="E1034" s="21">
        <v>1</v>
      </c>
      <c r="F1034" s="44">
        <v>30</v>
      </c>
    </row>
    <row r="1035" spans="1:6">
      <c r="A1035" s="281"/>
      <c r="B1035" s="307" t="s">
        <v>35</v>
      </c>
      <c r="C1035" s="280"/>
      <c r="D1035" s="271"/>
      <c r="E1035" s="21"/>
      <c r="F1035" s="44"/>
    </row>
    <row r="1036" spans="1:6">
      <c r="A1036" s="43" t="s">
        <v>8</v>
      </c>
      <c r="B1036" s="244" t="s">
        <v>38</v>
      </c>
      <c r="C1036" s="245"/>
      <c r="D1036" s="246"/>
      <c r="E1036" s="21"/>
      <c r="F1036" s="44"/>
    </row>
    <row r="1037" spans="1:6">
      <c r="A1037" s="188" t="s">
        <v>39</v>
      </c>
      <c r="B1037" s="188"/>
      <c r="C1037" s="188"/>
      <c r="D1037" s="188"/>
      <c r="E1037" s="188"/>
      <c r="F1037" s="188"/>
    </row>
    <row r="1038" spans="1:6">
      <c r="A1038" s="211" t="s">
        <v>41</v>
      </c>
      <c r="B1038" s="307" t="s">
        <v>47</v>
      </c>
      <c r="C1038" s="280"/>
      <c r="D1038" s="271"/>
      <c r="E1038" s="21"/>
      <c r="F1038" s="44"/>
    </row>
    <row r="1039" spans="1:6">
      <c r="A1039" s="211"/>
      <c r="B1039" s="307" t="s">
        <v>48</v>
      </c>
      <c r="C1039" s="280"/>
      <c r="D1039" s="271"/>
      <c r="E1039" s="21"/>
      <c r="F1039" s="44"/>
    </row>
    <row r="1040" spans="1:6">
      <c r="A1040" s="211"/>
      <c r="B1040" s="307" t="s">
        <v>49</v>
      </c>
      <c r="C1040" s="280"/>
      <c r="D1040" s="271"/>
      <c r="E1040" s="21"/>
      <c r="F1040" s="44"/>
    </row>
    <row r="1041" spans="1:6">
      <c r="A1041" s="211"/>
      <c r="B1041" s="307" t="s">
        <v>50</v>
      </c>
      <c r="C1041" s="280"/>
      <c r="D1041" s="271"/>
      <c r="E1041" s="21"/>
      <c r="F1041" s="44"/>
    </row>
    <row r="1042" spans="1:6">
      <c r="A1042" s="211"/>
      <c r="B1042" s="307" t="s">
        <v>51</v>
      </c>
      <c r="C1042" s="280"/>
      <c r="D1042" s="271"/>
      <c r="E1042" s="21"/>
      <c r="F1042" s="44"/>
    </row>
    <row r="1043" spans="1:6">
      <c r="A1043" s="211"/>
      <c r="B1043" s="270" t="s">
        <v>52</v>
      </c>
      <c r="C1043" s="279"/>
      <c r="D1043" s="278"/>
      <c r="E1043" s="21"/>
      <c r="F1043" s="44"/>
    </row>
    <row r="1044" spans="1:6">
      <c r="A1044" s="211"/>
      <c r="B1044" s="307" t="s">
        <v>12</v>
      </c>
      <c r="C1044" s="280"/>
      <c r="D1044" s="271"/>
      <c r="E1044" s="21">
        <v>2</v>
      </c>
      <c r="F1044" s="44">
        <v>90</v>
      </c>
    </row>
    <row r="1045" spans="1:6">
      <c r="A1045" s="211"/>
      <c r="B1045" s="247" t="s">
        <v>8</v>
      </c>
      <c r="C1045" s="248"/>
      <c r="D1045" s="249"/>
      <c r="E1045" s="21">
        <v>16</v>
      </c>
      <c r="F1045" s="44">
        <f>450*E1045</f>
        <v>7200</v>
      </c>
    </row>
    <row r="1046" spans="1:6">
      <c r="A1046" s="211" t="s">
        <v>42</v>
      </c>
      <c r="B1046" s="307" t="s">
        <v>53</v>
      </c>
      <c r="C1046" s="280"/>
      <c r="D1046" s="271"/>
      <c r="E1046" s="21"/>
      <c r="F1046" s="44"/>
    </row>
    <row r="1047" spans="1:6">
      <c r="A1047" s="211"/>
      <c r="B1047" s="307" t="s">
        <v>54</v>
      </c>
      <c r="C1047" s="280"/>
      <c r="D1047" s="271"/>
      <c r="E1047" s="21"/>
      <c r="F1047" s="44"/>
    </row>
    <row r="1048" spans="1:6">
      <c r="A1048" s="211"/>
      <c r="B1048" s="307" t="s">
        <v>55</v>
      </c>
      <c r="C1048" s="280"/>
      <c r="D1048" s="271"/>
      <c r="E1048" s="21"/>
      <c r="F1048" s="44"/>
    </row>
    <row r="1049" spans="1:6">
      <c r="A1049" s="211"/>
      <c r="B1049" s="307" t="s">
        <v>34</v>
      </c>
      <c r="C1049" s="280"/>
      <c r="D1049" s="271"/>
      <c r="E1049" s="21"/>
      <c r="F1049" s="44"/>
    </row>
    <row r="1050" spans="1:6">
      <c r="A1050" s="211"/>
      <c r="B1050" s="307" t="s">
        <v>56</v>
      </c>
      <c r="C1050" s="280"/>
      <c r="D1050" s="271"/>
      <c r="E1050" s="21"/>
      <c r="F1050" s="44"/>
    </row>
    <row r="1051" spans="1:6">
      <c r="A1051" s="211"/>
      <c r="B1051" s="307" t="s">
        <v>57</v>
      </c>
      <c r="C1051" s="280"/>
      <c r="D1051" s="271"/>
      <c r="E1051" s="21"/>
      <c r="F1051" s="44"/>
    </row>
    <row r="1052" spans="1:6">
      <c r="A1052" s="211"/>
      <c r="B1052" s="307" t="s">
        <v>58</v>
      </c>
      <c r="C1052" s="280"/>
      <c r="D1052" s="271"/>
      <c r="E1052" s="21"/>
      <c r="F1052" s="44"/>
    </row>
    <row r="1053" spans="1:6">
      <c r="A1053" s="211" t="s">
        <v>43</v>
      </c>
      <c r="B1053" s="307" t="s">
        <v>36</v>
      </c>
      <c r="C1053" s="280"/>
      <c r="D1053" s="271"/>
      <c r="E1053" s="21"/>
      <c r="F1053" s="44"/>
    </row>
    <row r="1054" spans="1:6">
      <c r="A1054" s="211"/>
      <c r="B1054" s="307" t="s">
        <v>59</v>
      </c>
      <c r="C1054" s="280"/>
      <c r="D1054" s="271"/>
      <c r="E1054" s="21"/>
      <c r="F1054" s="44"/>
    </row>
    <row r="1055" spans="1:6">
      <c r="A1055" s="211"/>
      <c r="B1055" s="307" t="s">
        <v>37</v>
      </c>
      <c r="C1055" s="280"/>
      <c r="D1055" s="271"/>
      <c r="E1055" s="21"/>
      <c r="F1055" s="44"/>
    </row>
    <row r="1056" spans="1:6">
      <c r="A1056" s="211"/>
      <c r="B1056" s="307" t="s">
        <v>60</v>
      </c>
      <c r="C1056" s="280"/>
      <c r="D1056" s="271"/>
      <c r="E1056" s="21"/>
      <c r="F1056" s="44"/>
    </row>
    <row r="1057" spans="1:6">
      <c r="A1057" s="211"/>
      <c r="B1057" s="307" t="s">
        <v>61</v>
      </c>
      <c r="C1057" s="280"/>
      <c r="D1057" s="271"/>
      <c r="E1057" s="21"/>
      <c r="F1057" s="44"/>
    </row>
    <row r="1058" spans="1:6" ht="28.8">
      <c r="A1058" s="25" t="s">
        <v>44</v>
      </c>
      <c r="B1058" s="314" t="s">
        <v>62</v>
      </c>
      <c r="C1058" s="208"/>
      <c r="D1058" s="209"/>
      <c r="E1058" s="21"/>
      <c r="F1058" s="44"/>
    </row>
    <row r="1059" spans="1:6">
      <c r="A1059" s="211" t="s">
        <v>45</v>
      </c>
      <c r="B1059" s="307" t="s">
        <v>63</v>
      </c>
      <c r="C1059" s="280"/>
      <c r="D1059" s="271"/>
      <c r="E1059" s="21"/>
      <c r="F1059" s="44"/>
    </row>
    <row r="1060" spans="1:6">
      <c r="A1060" s="211"/>
      <c r="B1060" s="307" t="s">
        <v>64</v>
      </c>
      <c r="C1060" s="280"/>
      <c r="D1060" s="271"/>
      <c r="E1060" s="21"/>
      <c r="F1060" s="44"/>
    </row>
    <row r="1061" spans="1:6">
      <c r="A1061" s="211"/>
      <c r="B1061" s="307" t="s">
        <v>65</v>
      </c>
      <c r="C1061" s="280"/>
      <c r="D1061" s="271"/>
      <c r="E1061" s="21"/>
      <c r="F1061" s="44"/>
    </row>
    <row r="1062" spans="1:6">
      <c r="A1062" s="211"/>
      <c r="B1062" s="307" t="s">
        <v>66</v>
      </c>
      <c r="C1062" s="280"/>
      <c r="D1062" s="271"/>
      <c r="E1062" s="21"/>
      <c r="F1062" s="44"/>
    </row>
    <row r="1063" spans="1:6">
      <c r="A1063" s="211"/>
      <c r="B1063" s="307" t="s">
        <v>67</v>
      </c>
      <c r="C1063" s="280"/>
      <c r="D1063" s="271"/>
      <c r="E1063" s="21"/>
      <c r="F1063" s="44"/>
    </row>
    <row r="1064" spans="1:6">
      <c r="A1064" s="211"/>
      <c r="B1064" s="307" t="s">
        <v>68</v>
      </c>
      <c r="C1064" s="280"/>
      <c r="D1064" s="271"/>
      <c r="E1064" s="21"/>
      <c r="F1064" s="44"/>
    </row>
    <row r="1065" spans="1:6">
      <c r="A1065" s="211" t="s">
        <v>46</v>
      </c>
      <c r="B1065" s="307" t="s">
        <v>69</v>
      </c>
      <c r="C1065" s="280"/>
      <c r="D1065" s="271"/>
      <c r="E1065" s="21">
        <v>2</v>
      </c>
      <c r="F1065" s="44">
        <f>180*E1065</f>
        <v>360</v>
      </c>
    </row>
    <row r="1066" spans="1:6">
      <c r="A1066" s="211"/>
      <c r="B1066" s="307" t="s">
        <v>70</v>
      </c>
      <c r="C1066" s="280"/>
      <c r="D1066" s="271"/>
      <c r="E1066" s="21">
        <v>1</v>
      </c>
      <c r="F1066" s="44">
        <v>347</v>
      </c>
    </row>
    <row r="1067" spans="1:6">
      <c r="A1067" s="188" t="s">
        <v>71</v>
      </c>
      <c r="B1067" s="188"/>
      <c r="C1067" s="188"/>
      <c r="D1067" s="188"/>
      <c r="E1067" s="188"/>
      <c r="F1067" s="188"/>
    </row>
    <row r="1068" spans="1:6">
      <c r="A1068" s="211" t="s">
        <v>72</v>
      </c>
      <c r="B1068" s="307" t="s">
        <v>54</v>
      </c>
      <c r="C1068" s="280"/>
      <c r="D1068" s="271"/>
      <c r="E1068" s="42"/>
      <c r="F1068" s="44"/>
    </row>
    <row r="1069" spans="1:6">
      <c r="A1069" s="211"/>
      <c r="B1069" s="307" t="s">
        <v>55</v>
      </c>
      <c r="C1069" s="280"/>
      <c r="D1069" s="271"/>
      <c r="E1069" s="42"/>
      <c r="F1069" s="44"/>
    </row>
    <row r="1070" spans="1:6">
      <c r="A1070" s="211"/>
      <c r="B1070" s="307" t="s">
        <v>64</v>
      </c>
      <c r="C1070" s="280"/>
      <c r="D1070" s="271"/>
      <c r="E1070" s="42"/>
      <c r="F1070" s="44"/>
    </row>
    <row r="1071" spans="1:6">
      <c r="A1071" s="211"/>
      <c r="B1071" s="307" t="s">
        <v>66</v>
      </c>
      <c r="C1071" s="280"/>
      <c r="D1071" s="271"/>
      <c r="E1071" s="42"/>
      <c r="F1071" s="44"/>
    </row>
    <row r="1072" spans="1:6">
      <c r="A1072" s="316" t="s">
        <v>73</v>
      </c>
      <c r="B1072" s="314" t="s">
        <v>74</v>
      </c>
      <c r="C1072" s="208"/>
      <c r="D1072" s="209"/>
      <c r="E1072" s="42"/>
      <c r="F1072" s="44"/>
    </row>
    <row r="1073" spans="1:6">
      <c r="A1073" s="317"/>
      <c r="B1073" s="314" t="s">
        <v>75</v>
      </c>
      <c r="C1073" s="208"/>
      <c r="D1073" s="209"/>
      <c r="E1073" s="42"/>
      <c r="F1073" s="44"/>
    </row>
    <row r="1074" spans="1:6">
      <c r="A1074" s="318"/>
      <c r="B1074" s="244" t="s">
        <v>76</v>
      </c>
      <c r="C1074" s="245"/>
      <c r="D1074" s="246"/>
      <c r="E1074" s="46"/>
      <c r="F1074" s="44"/>
    </row>
    <row r="1075" spans="1:6">
      <c r="A1075" s="241" t="s">
        <v>77</v>
      </c>
      <c r="B1075" s="241"/>
      <c r="C1075" s="241"/>
      <c r="D1075" s="241"/>
      <c r="E1075" s="241"/>
      <c r="F1075" s="241"/>
    </row>
    <row r="1076" spans="1:6">
      <c r="A1076" s="211" t="s">
        <v>78</v>
      </c>
      <c r="B1076" s="307" t="s">
        <v>83</v>
      </c>
      <c r="C1076" s="280"/>
      <c r="D1076" s="271"/>
      <c r="E1076" s="21">
        <v>1</v>
      </c>
      <c r="F1076" s="44">
        <v>180</v>
      </c>
    </row>
    <row r="1077" spans="1:6">
      <c r="A1077" s="211"/>
      <c r="B1077" s="307" t="s">
        <v>15</v>
      </c>
      <c r="C1077" s="280"/>
      <c r="D1077" s="271"/>
      <c r="E1077" s="21"/>
      <c r="F1077" s="44"/>
    </row>
    <row r="1078" spans="1:6">
      <c r="A1078" s="211"/>
      <c r="B1078" s="307" t="s">
        <v>84</v>
      </c>
      <c r="C1078" s="280"/>
      <c r="D1078" s="271"/>
      <c r="E1078" s="21"/>
      <c r="F1078" s="44"/>
    </row>
    <row r="1079" spans="1:6">
      <c r="A1079" s="211"/>
      <c r="B1079" s="307" t="s">
        <v>85</v>
      </c>
      <c r="C1079" s="280"/>
      <c r="D1079" s="271"/>
      <c r="E1079" s="21"/>
      <c r="F1079" s="44"/>
    </row>
    <row r="1080" spans="1:6">
      <c r="A1080" s="211"/>
      <c r="B1080" s="307" t="s">
        <v>86</v>
      </c>
      <c r="C1080" s="280"/>
      <c r="D1080" s="271"/>
      <c r="E1080" s="21"/>
      <c r="F1080" s="44"/>
    </row>
    <row r="1081" spans="1:6">
      <c r="A1081" s="211"/>
      <c r="B1081" s="307" t="s">
        <v>87</v>
      </c>
      <c r="C1081" s="280"/>
      <c r="D1081" s="271"/>
      <c r="E1081" s="21"/>
      <c r="F1081" s="44"/>
    </row>
    <row r="1082" spans="1:6">
      <c r="A1082" s="211"/>
      <c r="B1082" s="270" t="s">
        <v>141</v>
      </c>
      <c r="C1082" s="280"/>
      <c r="D1082" s="271"/>
      <c r="E1082" s="21">
        <v>1</v>
      </c>
      <c r="F1082" s="44">
        <v>180</v>
      </c>
    </row>
    <row r="1083" spans="1:6">
      <c r="A1083" s="211" t="s">
        <v>79</v>
      </c>
      <c r="B1083" s="307" t="s">
        <v>89</v>
      </c>
      <c r="C1083" s="280"/>
      <c r="D1083" s="271"/>
      <c r="E1083" s="21">
        <v>1</v>
      </c>
      <c r="F1083" s="44">
        <v>100</v>
      </c>
    </row>
    <row r="1084" spans="1:6">
      <c r="A1084" s="211"/>
      <c r="B1084" s="307" t="s">
        <v>90</v>
      </c>
      <c r="C1084" s="280"/>
      <c r="D1084" s="271"/>
      <c r="E1084" s="21">
        <v>1</v>
      </c>
      <c r="F1084" s="44">
        <v>100</v>
      </c>
    </row>
    <row r="1085" spans="1:6">
      <c r="A1085" s="211"/>
      <c r="B1085" s="307" t="s">
        <v>91</v>
      </c>
      <c r="C1085" s="280"/>
      <c r="D1085" s="271"/>
      <c r="E1085" s="21"/>
      <c r="F1085" s="44"/>
    </row>
    <row r="1086" spans="1:6">
      <c r="A1086" s="211"/>
      <c r="B1086" s="307" t="s">
        <v>92</v>
      </c>
      <c r="C1086" s="280"/>
      <c r="D1086" s="271"/>
      <c r="E1086" s="21">
        <v>1</v>
      </c>
      <c r="F1086" s="44">
        <v>400</v>
      </c>
    </row>
    <row r="1087" spans="1:6">
      <c r="A1087" s="211"/>
      <c r="B1087" s="307" t="s">
        <v>93</v>
      </c>
      <c r="C1087" s="280"/>
      <c r="D1087" s="271"/>
      <c r="E1087" s="21"/>
      <c r="F1087" s="44"/>
    </row>
    <row r="1088" spans="1:6">
      <c r="A1088" s="211"/>
      <c r="B1088" s="307" t="s">
        <v>94</v>
      </c>
      <c r="C1088" s="280"/>
      <c r="D1088" s="271"/>
      <c r="E1088" s="21"/>
      <c r="F1088" s="44"/>
    </row>
    <row r="1089" spans="1:6">
      <c r="A1089" s="211"/>
      <c r="B1089" s="307" t="s">
        <v>95</v>
      </c>
      <c r="C1089" s="280"/>
      <c r="D1089" s="271"/>
      <c r="E1089" s="21"/>
      <c r="F1089" s="44"/>
    </row>
    <row r="1090" spans="1:6">
      <c r="A1090" s="211"/>
      <c r="B1090" s="307" t="s">
        <v>96</v>
      </c>
      <c r="C1090" s="280"/>
      <c r="D1090" s="271"/>
      <c r="E1090" s="21"/>
      <c r="F1090" s="44"/>
    </row>
    <row r="1091" spans="1:6">
      <c r="A1091" s="211"/>
      <c r="B1091" s="307" t="s">
        <v>97</v>
      </c>
      <c r="C1091" s="280"/>
      <c r="D1091" s="271"/>
      <c r="E1091" s="21"/>
      <c r="F1091" s="44"/>
    </row>
    <row r="1092" spans="1:6">
      <c r="A1092" s="211"/>
      <c r="B1092" s="307" t="s">
        <v>98</v>
      </c>
      <c r="C1092" s="280"/>
      <c r="D1092" s="271"/>
      <c r="E1092" s="21"/>
      <c r="F1092" s="44"/>
    </row>
    <row r="1093" spans="1:6">
      <c r="A1093" s="211"/>
      <c r="B1093" s="307" t="s">
        <v>99</v>
      </c>
      <c r="C1093" s="280"/>
      <c r="D1093" s="271"/>
      <c r="E1093" s="21"/>
      <c r="F1093" s="44"/>
    </row>
    <row r="1094" spans="1:6">
      <c r="A1094" s="211"/>
      <c r="B1094" s="307" t="s">
        <v>100</v>
      </c>
      <c r="C1094" s="280"/>
      <c r="D1094" s="271"/>
      <c r="E1094" s="21"/>
      <c r="F1094" s="44"/>
    </row>
    <row r="1095" spans="1:6">
      <c r="A1095" s="39" t="s">
        <v>80</v>
      </c>
      <c r="B1095" s="262" t="s">
        <v>101</v>
      </c>
      <c r="C1095" s="319"/>
      <c r="D1095" s="263"/>
      <c r="E1095" s="21">
        <v>1</v>
      </c>
      <c r="F1095" s="44">
        <v>93</v>
      </c>
    </row>
    <row r="1096" spans="1:6">
      <c r="A1096" s="211" t="s">
        <v>81</v>
      </c>
      <c r="B1096" s="314" t="s">
        <v>102</v>
      </c>
      <c r="C1096" s="208"/>
      <c r="D1096" s="209"/>
      <c r="E1096" s="21"/>
      <c r="F1096" s="44"/>
    </row>
    <row r="1097" spans="1:6">
      <c r="A1097" s="211"/>
      <c r="B1097" s="207" t="s">
        <v>113</v>
      </c>
      <c r="C1097" s="294"/>
      <c r="D1097" s="274"/>
      <c r="E1097" s="21">
        <v>1</v>
      </c>
      <c r="F1097" s="44">
        <v>120</v>
      </c>
    </row>
    <row r="1098" spans="1:6">
      <c r="A1098" s="233"/>
      <c r="B1098" s="207" t="s">
        <v>110</v>
      </c>
      <c r="C1098" s="294"/>
      <c r="D1098" s="274"/>
      <c r="E1098" s="44"/>
      <c r="F1098" s="44"/>
    </row>
    <row r="1099" spans="1:6">
      <c r="A1099" s="211" t="s">
        <v>82</v>
      </c>
      <c r="B1099" s="307" t="s">
        <v>103</v>
      </c>
      <c r="C1099" s="280"/>
      <c r="D1099" s="271"/>
      <c r="E1099" s="21"/>
      <c r="F1099" s="44"/>
    </row>
    <row r="1100" spans="1:6">
      <c r="A1100" s="211"/>
      <c r="B1100" s="307" t="s">
        <v>104</v>
      </c>
      <c r="C1100" s="280"/>
      <c r="D1100" s="271"/>
      <c r="E1100" s="21"/>
      <c r="F1100" s="44"/>
    </row>
    <row r="1101" spans="1:6">
      <c r="A1101" s="211"/>
      <c r="B1101" s="307" t="s">
        <v>105</v>
      </c>
      <c r="C1101" s="280"/>
      <c r="D1101" s="271"/>
      <c r="E1101" s="21"/>
      <c r="F1101" s="44"/>
    </row>
    <row r="1102" spans="1:6">
      <c r="A1102" s="211"/>
      <c r="B1102" s="207" t="s">
        <v>115</v>
      </c>
      <c r="C1102" s="208"/>
      <c r="D1102" s="209"/>
      <c r="E1102" s="21"/>
      <c r="F1102" s="44"/>
    </row>
    <row r="1103" spans="1:6">
      <c r="A1103" s="211"/>
      <c r="B1103" s="307" t="s">
        <v>106</v>
      </c>
      <c r="C1103" s="280"/>
      <c r="D1103" s="271"/>
      <c r="E1103" s="21">
        <v>1</v>
      </c>
      <c r="F1103" s="44">
        <v>60</v>
      </c>
    </row>
    <row r="1104" spans="1:6">
      <c r="A1104" s="211"/>
      <c r="B1104" s="307" t="s">
        <v>107</v>
      </c>
      <c r="C1104" s="280"/>
      <c r="D1104" s="271"/>
      <c r="E1104" s="21"/>
      <c r="F1104" s="44"/>
    </row>
    <row r="1105" spans="1:6">
      <c r="F1105" s="10">
        <f>SUM(F1017:F1104)</f>
        <v>9800</v>
      </c>
    </row>
    <row r="1108" spans="1:6">
      <c r="A1108" s="340" t="s">
        <v>116</v>
      </c>
      <c r="B1108" s="340"/>
      <c r="C1108" s="340"/>
      <c r="D1108" s="340"/>
      <c r="E1108" s="340"/>
      <c r="F1108" s="340"/>
    </row>
    <row r="1109" spans="1:6">
      <c r="A1109" s="19"/>
      <c r="B1109" s="19"/>
      <c r="C1109" s="19" t="s">
        <v>118</v>
      </c>
      <c r="D1109" s="37" t="s">
        <v>142</v>
      </c>
      <c r="E1109" s="6"/>
      <c r="F1109" s="45"/>
    </row>
    <row r="1110" spans="1:6">
      <c r="A1110" s="1"/>
      <c r="B1110" s="19"/>
      <c r="C1110" s="19" t="s">
        <v>0</v>
      </c>
      <c r="D1110" s="34">
        <f>Gosen!B3*194*100</f>
        <v>1668400</v>
      </c>
      <c r="E1110" s="6"/>
      <c r="F1110" s="11"/>
    </row>
    <row r="1111" spans="1:6">
      <c r="A1111" s="19"/>
      <c r="B1111" s="19"/>
      <c r="C1111" s="19" t="s">
        <v>2</v>
      </c>
      <c r="D1111" s="35">
        <f>D1110*1/9</f>
        <v>185377.77777777778</v>
      </c>
      <c r="E1111" s="6"/>
      <c r="F1111" s="22"/>
    </row>
    <row r="1112" spans="1:6">
      <c r="A1112" s="7"/>
      <c r="B1112" s="19"/>
      <c r="C1112" s="19" t="s">
        <v>3</v>
      </c>
      <c r="D1112" s="35">
        <f>SUM(D1110:D1111)</f>
        <v>1853777.7777777778</v>
      </c>
      <c r="E1112" s="6"/>
      <c r="F1112" s="11"/>
    </row>
    <row r="1113" spans="1:6">
      <c r="A1113" s="7"/>
      <c r="B1113" s="19"/>
      <c r="C1113" s="19" t="s">
        <v>4</v>
      </c>
      <c r="D1113" s="35">
        <f>D1112*0.06</f>
        <v>111226.66666666666</v>
      </c>
      <c r="E1113" s="6"/>
      <c r="F1113" s="11"/>
    </row>
    <row r="1114" spans="1:6">
      <c r="A1114" s="7"/>
      <c r="B1114" s="19"/>
      <c r="C1114" s="19" t="s">
        <v>5</v>
      </c>
      <c r="D1114" s="36">
        <f>SUM(D1112:D1113)</f>
        <v>1965004.4444444445</v>
      </c>
      <c r="E1114" s="6"/>
      <c r="F1114" s="11"/>
    </row>
    <row r="1115" spans="1:6" ht="28.8">
      <c r="A1115" s="41" t="s">
        <v>18</v>
      </c>
      <c r="B1115" s="341" t="s">
        <v>6</v>
      </c>
      <c r="C1115" s="342"/>
      <c r="D1115" s="343"/>
      <c r="E1115" s="40" t="s">
        <v>111</v>
      </c>
      <c r="F1115" s="40" t="s">
        <v>112</v>
      </c>
    </row>
    <row r="1116" spans="1:6">
      <c r="A1116" s="189" t="s">
        <v>40</v>
      </c>
      <c r="B1116" s="189"/>
      <c r="C1116" s="189"/>
      <c r="D1116" s="189"/>
      <c r="E1116" s="189"/>
      <c r="F1116" s="189"/>
    </row>
    <row r="1117" spans="1:6">
      <c r="A1117" s="281" t="s">
        <v>19</v>
      </c>
      <c r="B1117" s="314" t="s">
        <v>20</v>
      </c>
      <c r="C1117" s="208"/>
      <c r="D1117" s="209"/>
      <c r="E1117" s="42"/>
      <c r="F1117" s="44"/>
    </row>
    <row r="1118" spans="1:6">
      <c r="A1118" s="281"/>
      <c r="B1118" s="314" t="s">
        <v>21</v>
      </c>
      <c r="C1118" s="208"/>
      <c r="D1118" s="209"/>
      <c r="E1118" s="42"/>
      <c r="F1118" s="44"/>
    </row>
    <row r="1119" spans="1:6">
      <c r="A1119" s="281"/>
      <c r="B1119" s="314" t="s">
        <v>22</v>
      </c>
      <c r="C1119" s="208"/>
      <c r="D1119" s="209"/>
      <c r="E1119" s="42"/>
      <c r="F1119" s="44"/>
    </row>
    <row r="1120" spans="1:6">
      <c r="A1120" s="281"/>
      <c r="B1120" s="314" t="s">
        <v>23</v>
      </c>
      <c r="C1120" s="208"/>
      <c r="D1120" s="209"/>
      <c r="E1120" s="42"/>
      <c r="F1120" s="44"/>
    </row>
    <row r="1121" spans="1:6">
      <c r="A1121" s="281"/>
      <c r="B1121" s="314" t="s">
        <v>12</v>
      </c>
      <c r="C1121" s="208"/>
      <c r="D1121" s="209"/>
      <c r="E1121" s="42"/>
      <c r="F1121" s="44"/>
    </row>
    <row r="1122" spans="1:6">
      <c r="A1122" s="281"/>
      <c r="B1122" s="314" t="s">
        <v>24</v>
      </c>
      <c r="C1122" s="208"/>
      <c r="D1122" s="209"/>
      <c r="E1122" s="42"/>
      <c r="F1122" s="44"/>
    </row>
    <row r="1123" spans="1:6">
      <c r="A1123" s="281" t="s">
        <v>25</v>
      </c>
      <c r="B1123" s="272" t="s">
        <v>17</v>
      </c>
      <c r="C1123" s="297"/>
      <c r="D1123" s="273"/>
      <c r="E1123" s="21"/>
      <c r="F1123" s="44"/>
    </row>
    <row r="1124" spans="1:6">
      <c r="A1124" s="281"/>
      <c r="B1124" s="307" t="s">
        <v>16</v>
      </c>
      <c r="C1124" s="280"/>
      <c r="D1124" s="271"/>
      <c r="E1124" s="21">
        <v>1</v>
      </c>
      <c r="F1124" s="44">
        <v>208</v>
      </c>
    </row>
    <row r="1125" spans="1:6">
      <c r="A1125" s="281"/>
      <c r="B1125" s="307" t="s">
        <v>28</v>
      </c>
      <c r="C1125" s="280"/>
      <c r="D1125" s="271"/>
      <c r="E1125" s="21"/>
      <c r="F1125" s="44"/>
    </row>
    <row r="1126" spans="1:6">
      <c r="A1126" s="281"/>
      <c r="B1126" s="247" t="s">
        <v>11</v>
      </c>
      <c r="C1126" s="248"/>
      <c r="D1126" s="249"/>
      <c r="E1126" s="21"/>
      <c r="F1126" s="44"/>
    </row>
    <row r="1127" spans="1:6">
      <c r="A1127" s="281"/>
      <c r="B1127" s="247" t="s">
        <v>29</v>
      </c>
      <c r="C1127" s="248"/>
      <c r="D1127" s="249"/>
      <c r="E1127" s="21"/>
      <c r="F1127" s="44"/>
    </row>
    <row r="1128" spans="1:6">
      <c r="A1128" s="336" t="s">
        <v>26</v>
      </c>
      <c r="B1128" s="337" t="s">
        <v>108</v>
      </c>
      <c r="C1128" s="338"/>
      <c r="D1128" s="339"/>
      <c r="E1128" s="21"/>
      <c r="F1128" s="44"/>
    </row>
    <row r="1129" spans="1:6">
      <c r="A1129" s="336"/>
      <c r="B1129" s="247" t="s">
        <v>30</v>
      </c>
      <c r="C1129" s="248"/>
      <c r="D1129" s="249"/>
      <c r="E1129" s="21"/>
      <c r="F1129" s="44"/>
    </row>
    <row r="1130" spans="1:6">
      <c r="A1130" s="281" t="s">
        <v>27</v>
      </c>
      <c r="B1130" s="307" t="s">
        <v>31</v>
      </c>
      <c r="C1130" s="280"/>
      <c r="D1130" s="271"/>
      <c r="E1130" s="21"/>
      <c r="F1130" s="44"/>
    </row>
    <row r="1131" spans="1:6">
      <c r="A1131" s="281"/>
      <c r="B1131" s="307" t="s">
        <v>32</v>
      </c>
      <c r="C1131" s="280"/>
      <c r="D1131" s="271"/>
      <c r="E1131" s="21"/>
      <c r="F1131" s="44"/>
    </row>
    <row r="1132" spans="1:6">
      <c r="A1132" s="281" t="s">
        <v>13</v>
      </c>
      <c r="B1132" s="307" t="s">
        <v>9</v>
      </c>
      <c r="C1132" s="280"/>
      <c r="D1132" s="271"/>
      <c r="E1132" s="21"/>
      <c r="F1132" s="44"/>
    </row>
    <row r="1133" spans="1:6">
      <c r="A1133" s="281"/>
      <c r="B1133" s="307" t="s">
        <v>33</v>
      </c>
      <c r="C1133" s="280"/>
      <c r="D1133" s="271"/>
      <c r="E1133" s="21"/>
      <c r="F1133" s="44"/>
    </row>
    <row r="1134" spans="1:6">
      <c r="A1134" s="281"/>
      <c r="B1134" s="307" t="s">
        <v>34</v>
      </c>
      <c r="C1134" s="280"/>
      <c r="D1134" s="271"/>
      <c r="E1134" s="21"/>
      <c r="F1134" s="44"/>
    </row>
    <row r="1135" spans="1:6">
      <c r="A1135" s="281"/>
      <c r="B1135" s="307" t="s">
        <v>35</v>
      </c>
      <c r="C1135" s="280"/>
      <c r="D1135" s="271"/>
      <c r="E1135" s="21"/>
      <c r="F1135" s="44"/>
    </row>
    <row r="1136" spans="1:6">
      <c r="A1136" s="43" t="s">
        <v>8</v>
      </c>
      <c r="B1136" s="244" t="s">
        <v>38</v>
      </c>
      <c r="C1136" s="245"/>
      <c r="D1136" s="246"/>
      <c r="E1136" s="21"/>
      <c r="F1136" s="44"/>
    </row>
    <row r="1137" spans="1:6">
      <c r="A1137" s="188" t="s">
        <v>39</v>
      </c>
      <c r="B1137" s="188"/>
      <c r="C1137" s="188"/>
      <c r="D1137" s="188"/>
      <c r="E1137" s="188"/>
      <c r="F1137" s="188"/>
    </row>
    <row r="1138" spans="1:6">
      <c r="A1138" s="211" t="s">
        <v>41</v>
      </c>
      <c r="B1138" s="307" t="s">
        <v>47</v>
      </c>
      <c r="C1138" s="280"/>
      <c r="D1138" s="271"/>
      <c r="E1138" s="21"/>
      <c r="F1138" s="44"/>
    </row>
    <row r="1139" spans="1:6">
      <c r="A1139" s="211"/>
      <c r="B1139" s="307" t="s">
        <v>48</v>
      </c>
      <c r="C1139" s="280"/>
      <c r="D1139" s="271"/>
      <c r="E1139" s="21"/>
      <c r="F1139" s="44"/>
    </row>
    <row r="1140" spans="1:6">
      <c r="A1140" s="211"/>
      <c r="B1140" s="307" t="s">
        <v>49</v>
      </c>
      <c r="C1140" s="280"/>
      <c r="D1140" s="271"/>
      <c r="E1140" s="21"/>
      <c r="F1140" s="44"/>
    </row>
    <row r="1141" spans="1:6">
      <c r="A1141" s="211"/>
      <c r="B1141" s="307" t="s">
        <v>50</v>
      </c>
      <c r="C1141" s="280"/>
      <c r="D1141" s="271"/>
      <c r="E1141" s="21"/>
      <c r="F1141" s="44"/>
    </row>
    <row r="1142" spans="1:6">
      <c r="A1142" s="211"/>
      <c r="B1142" s="307" t="s">
        <v>51</v>
      </c>
      <c r="C1142" s="280"/>
      <c r="D1142" s="271"/>
      <c r="E1142" s="21"/>
      <c r="F1142" s="44"/>
    </row>
    <row r="1143" spans="1:6">
      <c r="A1143" s="211"/>
      <c r="B1143" s="270" t="s">
        <v>52</v>
      </c>
      <c r="C1143" s="279"/>
      <c r="D1143" s="278"/>
      <c r="E1143" s="21"/>
      <c r="F1143" s="44"/>
    </row>
    <row r="1144" spans="1:6">
      <c r="A1144" s="211"/>
      <c r="B1144" s="307" t="s">
        <v>12</v>
      </c>
      <c r="C1144" s="280"/>
      <c r="D1144" s="271"/>
      <c r="E1144" s="21">
        <v>4</v>
      </c>
      <c r="F1144" s="44">
        <f>E1144*45</f>
        <v>180</v>
      </c>
    </row>
    <row r="1145" spans="1:6">
      <c r="A1145" s="211"/>
      <c r="B1145" s="247" t="s">
        <v>8</v>
      </c>
      <c r="C1145" s="248"/>
      <c r="D1145" s="249"/>
      <c r="E1145" s="21">
        <v>7</v>
      </c>
      <c r="F1145" s="44">
        <f>360*E1145</f>
        <v>2520</v>
      </c>
    </row>
    <row r="1146" spans="1:6">
      <c r="A1146" s="211" t="s">
        <v>42</v>
      </c>
      <c r="B1146" s="270" t="s">
        <v>143</v>
      </c>
      <c r="C1146" s="280"/>
      <c r="D1146" s="271"/>
      <c r="E1146" s="21">
        <v>9</v>
      </c>
      <c r="F1146" s="44">
        <f>E1146*18</f>
        <v>162</v>
      </c>
    </row>
    <row r="1147" spans="1:6">
      <c r="A1147" s="211"/>
      <c r="B1147" s="307" t="s">
        <v>54</v>
      </c>
      <c r="C1147" s="280"/>
      <c r="D1147" s="271"/>
      <c r="E1147" s="21"/>
      <c r="F1147" s="44"/>
    </row>
    <row r="1148" spans="1:6">
      <c r="A1148" s="211"/>
      <c r="B1148" s="307" t="s">
        <v>55</v>
      </c>
      <c r="C1148" s="280"/>
      <c r="D1148" s="271"/>
      <c r="E1148" s="21">
        <v>5</v>
      </c>
      <c r="F1148" s="44">
        <f>E1148*54</f>
        <v>270</v>
      </c>
    </row>
    <row r="1149" spans="1:6">
      <c r="A1149" s="211"/>
      <c r="B1149" s="307" t="s">
        <v>34</v>
      </c>
      <c r="C1149" s="280"/>
      <c r="D1149" s="271"/>
      <c r="E1149" s="21"/>
      <c r="F1149" s="44"/>
    </row>
    <row r="1150" spans="1:6">
      <c r="A1150" s="211"/>
      <c r="B1150" s="307" t="s">
        <v>56</v>
      </c>
      <c r="C1150" s="280"/>
      <c r="D1150" s="271"/>
      <c r="E1150" s="21"/>
      <c r="F1150" s="44"/>
    </row>
    <row r="1151" spans="1:6">
      <c r="A1151" s="211"/>
      <c r="B1151" s="307" t="s">
        <v>57</v>
      </c>
      <c r="C1151" s="280"/>
      <c r="D1151" s="271"/>
      <c r="E1151" s="21"/>
      <c r="F1151" s="44"/>
    </row>
    <row r="1152" spans="1:6">
      <c r="A1152" s="211"/>
      <c r="B1152" s="307" t="s">
        <v>58</v>
      </c>
      <c r="C1152" s="280"/>
      <c r="D1152" s="271"/>
      <c r="E1152" s="21"/>
      <c r="F1152" s="44"/>
    </row>
    <row r="1153" spans="1:6">
      <c r="A1153" s="211" t="s">
        <v>43</v>
      </c>
      <c r="B1153" s="307" t="s">
        <v>36</v>
      </c>
      <c r="C1153" s="280"/>
      <c r="D1153" s="271"/>
      <c r="E1153" s="21"/>
      <c r="F1153" s="44"/>
    </row>
    <row r="1154" spans="1:6">
      <c r="A1154" s="211"/>
      <c r="B1154" s="307" t="s">
        <v>59</v>
      </c>
      <c r="C1154" s="280"/>
      <c r="D1154" s="271"/>
      <c r="E1154" s="21"/>
      <c r="F1154" s="44"/>
    </row>
    <row r="1155" spans="1:6">
      <c r="A1155" s="211"/>
      <c r="B1155" s="307" t="s">
        <v>37</v>
      </c>
      <c r="C1155" s="280"/>
      <c r="D1155" s="271"/>
      <c r="E1155" s="21"/>
      <c r="F1155" s="44"/>
    </row>
    <row r="1156" spans="1:6">
      <c r="A1156" s="211"/>
      <c r="B1156" s="307" t="s">
        <v>60</v>
      </c>
      <c r="C1156" s="280"/>
      <c r="D1156" s="271"/>
      <c r="E1156" s="21"/>
      <c r="F1156" s="44"/>
    </row>
    <row r="1157" spans="1:6">
      <c r="A1157" s="211"/>
      <c r="B1157" s="307" t="s">
        <v>61</v>
      </c>
      <c r="C1157" s="280"/>
      <c r="D1157" s="271"/>
      <c r="E1157" s="21"/>
      <c r="F1157" s="44"/>
    </row>
    <row r="1158" spans="1:6" ht="28.8">
      <c r="A1158" s="25" t="s">
        <v>44</v>
      </c>
      <c r="B1158" s="314" t="s">
        <v>62</v>
      </c>
      <c r="C1158" s="208"/>
      <c r="D1158" s="209"/>
      <c r="E1158" s="21"/>
      <c r="F1158" s="44"/>
    </row>
    <row r="1159" spans="1:6">
      <c r="A1159" s="211" t="s">
        <v>45</v>
      </c>
      <c r="B1159" s="307" t="s">
        <v>63</v>
      </c>
      <c r="C1159" s="280"/>
      <c r="D1159" s="271"/>
      <c r="E1159" s="21"/>
      <c r="F1159" s="44"/>
    </row>
    <row r="1160" spans="1:6">
      <c r="A1160" s="211"/>
      <c r="B1160" s="307" t="s">
        <v>64</v>
      </c>
      <c r="C1160" s="280"/>
      <c r="D1160" s="271"/>
      <c r="E1160" s="21"/>
      <c r="F1160" s="44"/>
    </row>
    <row r="1161" spans="1:6">
      <c r="A1161" s="211"/>
      <c r="B1161" s="307" t="s">
        <v>65</v>
      </c>
      <c r="C1161" s="280"/>
      <c r="D1161" s="271"/>
      <c r="E1161" s="21">
        <v>4</v>
      </c>
      <c r="F1161" s="44">
        <f>E1161*180</f>
        <v>720</v>
      </c>
    </row>
    <row r="1162" spans="1:6">
      <c r="A1162" s="211"/>
      <c r="B1162" s="307" t="s">
        <v>66</v>
      </c>
      <c r="C1162" s="280"/>
      <c r="D1162" s="271"/>
      <c r="E1162" s="21"/>
      <c r="F1162" s="44"/>
    </row>
    <row r="1163" spans="1:6">
      <c r="A1163" s="211"/>
      <c r="B1163" s="307" t="s">
        <v>67</v>
      </c>
      <c r="C1163" s="280"/>
      <c r="D1163" s="271"/>
      <c r="E1163" s="21">
        <v>13</v>
      </c>
      <c r="F1163" s="44">
        <f>180*E1163</f>
        <v>2340</v>
      </c>
    </row>
    <row r="1164" spans="1:6">
      <c r="A1164" s="211"/>
      <c r="B1164" s="307" t="s">
        <v>68</v>
      </c>
      <c r="C1164" s="280"/>
      <c r="D1164" s="271"/>
      <c r="E1164" s="21">
        <v>10</v>
      </c>
      <c r="F1164" s="44">
        <f>E1164*180</f>
        <v>1800</v>
      </c>
    </row>
    <row r="1165" spans="1:6">
      <c r="A1165" s="211" t="s">
        <v>46</v>
      </c>
      <c r="B1165" s="307" t="s">
        <v>69</v>
      </c>
      <c r="C1165" s="280"/>
      <c r="D1165" s="271"/>
      <c r="E1165" s="21"/>
      <c r="F1165" s="44"/>
    </row>
    <row r="1166" spans="1:6">
      <c r="A1166" s="211"/>
      <c r="B1166" s="307" t="s">
        <v>70</v>
      </c>
      <c r="C1166" s="280"/>
      <c r="D1166" s="271"/>
      <c r="E1166" s="21"/>
      <c r="F1166" s="44"/>
    </row>
    <row r="1167" spans="1:6">
      <c r="A1167" s="188" t="s">
        <v>71</v>
      </c>
      <c r="B1167" s="188"/>
      <c r="C1167" s="188"/>
      <c r="D1167" s="188"/>
      <c r="E1167" s="188"/>
      <c r="F1167" s="188"/>
    </row>
    <row r="1168" spans="1:6">
      <c r="A1168" s="211" t="s">
        <v>72</v>
      </c>
      <c r="B1168" s="307" t="s">
        <v>54</v>
      </c>
      <c r="C1168" s="280"/>
      <c r="D1168" s="271"/>
      <c r="E1168" s="42"/>
      <c r="F1168" s="44"/>
    </row>
    <row r="1169" spans="1:6">
      <c r="A1169" s="211"/>
      <c r="B1169" s="307" t="s">
        <v>55</v>
      </c>
      <c r="C1169" s="280"/>
      <c r="D1169" s="271"/>
      <c r="E1169" s="42"/>
      <c r="F1169" s="44"/>
    </row>
    <row r="1170" spans="1:6">
      <c r="A1170" s="211"/>
      <c r="B1170" s="307" t="s">
        <v>64</v>
      </c>
      <c r="C1170" s="280"/>
      <c r="D1170" s="271"/>
      <c r="E1170" s="42"/>
      <c r="F1170" s="44"/>
    </row>
    <row r="1171" spans="1:6">
      <c r="A1171" s="211"/>
      <c r="B1171" s="307" t="s">
        <v>66</v>
      </c>
      <c r="C1171" s="280"/>
      <c r="D1171" s="271"/>
      <c r="E1171" s="42"/>
      <c r="F1171" s="44"/>
    </row>
    <row r="1172" spans="1:6">
      <c r="A1172" s="316" t="s">
        <v>73</v>
      </c>
      <c r="B1172" s="314" t="s">
        <v>74</v>
      </c>
      <c r="C1172" s="208"/>
      <c r="D1172" s="209"/>
      <c r="E1172" s="42"/>
      <c r="F1172" s="44"/>
    </row>
    <row r="1173" spans="1:6">
      <c r="A1173" s="317"/>
      <c r="B1173" s="314" t="s">
        <v>75</v>
      </c>
      <c r="C1173" s="208"/>
      <c r="D1173" s="209"/>
      <c r="E1173" s="42"/>
      <c r="F1173" s="44"/>
    </row>
    <row r="1174" spans="1:6">
      <c r="A1174" s="318"/>
      <c r="B1174" s="244" t="s">
        <v>76</v>
      </c>
      <c r="C1174" s="245"/>
      <c r="D1174" s="246"/>
      <c r="E1174" s="46"/>
      <c r="F1174" s="44"/>
    </row>
    <row r="1175" spans="1:6">
      <c r="A1175" s="241" t="s">
        <v>77</v>
      </c>
      <c r="B1175" s="241"/>
      <c r="C1175" s="241"/>
      <c r="D1175" s="241"/>
      <c r="E1175" s="241"/>
      <c r="F1175" s="241"/>
    </row>
    <row r="1176" spans="1:6">
      <c r="A1176" s="211" t="s">
        <v>78</v>
      </c>
      <c r="B1176" s="307" t="s">
        <v>83</v>
      </c>
      <c r="C1176" s="280"/>
      <c r="D1176" s="271"/>
      <c r="E1176" s="21"/>
      <c r="F1176" s="44"/>
    </row>
    <row r="1177" spans="1:6">
      <c r="A1177" s="211"/>
      <c r="B1177" s="307" t="s">
        <v>15</v>
      </c>
      <c r="C1177" s="280"/>
      <c r="D1177" s="271"/>
      <c r="E1177" s="21"/>
      <c r="F1177" s="44"/>
    </row>
    <row r="1178" spans="1:6">
      <c r="A1178" s="211"/>
      <c r="B1178" s="307" t="s">
        <v>84</v>
      </c>
      <c r="C1178" s="280"/>
      <c r="D1178" s="271"/>
      <c r="E1178" s="21"/>
      <c r="F1178" s="44"/>
    </row>
    <row r="1179" spans="1:6">
      <c r="A1179" s="211"/>
      <c r="B1179" s="307" t="s">
        <v>85</v>
      </c>
      <c r="C1179" s="280"/>
      <c r="D1179" s="271"/>
      <c r="E1179" s="21"/>
      <c r="F1179" s="44"/>
    </row>
    <row r="1180" spans="1:6">
      <c r="A1180" s="211"/>
      <c r="B1180" s="307" t="s">
        <v>86</v>
      </c>
      <c r="C1180" s="280"/>
      <c r="D1180" s="271"/>
      <c r="E1180" s="21"/>
      <c r="F1180" s="44"/>
    </row>
    <row r="1181" spans="1:6">
      <c r="A1181" s="211"/>
      <c r="B1181" s="307" t="s">
        <v>87</v>
      </c>
      <c r="C1181" s="280"/>
      <c r="D1181" s="271"/>
      <c r="E1181" s="21"/>
      <c r="F1181" s="44"/>
    </row>
    <row r="1182" spans="1:6">
      <c r="A1182" s="211"/>
      <c r="B1182" s="307" t="s">
        <v>88</v>
      </c>
      <c r="C1182" s="280"/>
      <c r="D1182" s="271"/>
      <c r="E1182" s="21"/>
      <c r="F1182" s="44"/>
    </row>
    <row r="1183" spans="1:6">
      <c r="A1183" s="211" t="s">
        <v>79</v>
      </c>
      <c r="B1183" s="307" t="s">
        <v>89</v>
      </c>
      <c r="C1183" s="280"/>
      <c r="D1183" s="271"/>
      <c r="E1183" s="21"/>
      <c r="F1183" s="44"/>
    </row>
    <row r="1184" spans="1:6">
      <c r="A1184" s="211"/>
      <c r="B1184" s="307" t="s">
        <v>90</v>
      </c>
      <c r="C1184" s="280"/>
      <c r="D1184" s="271"/>
      <c r="E1184" s="21"/>
      <c r="F1184" s="44"/>
    </row>
    <row r="1185" spans="1:6">
      <c r="A1185" s="211"/>
      <c r="B1185" s="307" t="s">
        <v>91</v>
      </c>
      <c r="C1185" s="280"/>
      <c r="D1185" s="271"/>
      <c r="E1185" s="21"/>
      <c r="F1185" s="44"/>
    </row>
    <row r="1186" spans="1:6">
      <c r="A1186" s="211"/>
      <c r="B1186" s="307" t="s">
        <v>92</v>
      </c>
      <c r="C1186" s="280"/>
      <c r="D1186" s="271"/>
      <c r="E1186" s="21"/>
      <c r="F1186" s="44"/>
    </row>
    <row r="1187" spans="1:6">
      <c r="A1187" s="211"/>
      <c r="B1187" s="307" t="s">
        <v>93</v>
      </c>
      <c r="C1187" s="280"/>
      <c r="D1187" s="271"/>
      <c r="E1187" s="21"/>
      <c r="F1187" s="44"/>
    </row>
    <row r="1188" spans="1:6">
      <c r="A1188" s="211"/>
      <c r="B1188" s="307" t="s">
        <v>94</v>
      </c>
      <c r="C1188" s="280"/>
      <c r="D1188" s="271"/>
      <c r="E1188" s="21"/>
      <c r="F1188" s="44"/>
    </row>
    <row r="1189" spans="1:6">
      <c r="A1189" s="211"/>
      <c r="B1189" s="307" t="s">
        <v>95</v>
      </c>
      <c r="C1189" s="280"/>
      <c r="D1189" s="271"/>
      <c r="E1189" s="21"/>
      <c r="F1189" s="44"/>
    </row>
    <row r="1190" spans="1:6">
      <c r="A1190" s="211"/>
      <c r="B1190" s="307" t="s">
        <v>96</v>
      </c>
      <c r="C1190" s="280"/>
      <c r="D1190" s="271"/>
      <c r="E1190" s="21"/>
      <c r="F1190" s="44"/>
    </row>
    <row r="1191" spans="1:6">
      <c r="A1191" s="211"/>
      <c r="B1191" s="307" t="s">
        <v>97</v>
      </c>
      <c r="C1191" s="280"/>
      <c r="D1191" s="271"/>
      <c r="E1191" s="21"/>
      <c r="F1191" s="44"/>
    </row>
    <row r="1192" spans="1:6">
      <c r="A1192" s="211"/>
      <c r="B1192" s="307" t="s">
        <v>98</v>
      </c>
      <c r="C1192" s="280"/>
      <c r="D1192" s="271"/>
      <c r="E1192" s="21"/>
      <c r="F1192" s="44"/>
    </row>
    <row r="1193" spans="1:6">
      <c r="A1193" s="211"/>
      <c r="B1193" s="307" t="s">
        <v>99</v>
      </c>
      <c r="C1193" s="280"/>
      <c r="D1193" s="271"/>
      <c r="E1193" s="21"/>
      <c r="F1193" s="44"/>
    </row>
    <row r="1194" spans="1:6">
      <c r="A1194" s="211"/>
      <c r="B1194" s="307" t="s">
        <v>100</v>
      </c>
      <c r="C1194" s="280"/>
      <c r="D1194" s="271"/>
      <c r="E1194" s="21"/>
      <c r="F1194" s="44"/>
    </row>
    <row r="1195" spans="1:6">
      <c r="A1195" s="39" t="s">
        <v>80</v>
      </c>
      <c r="B1195" s="262" t="s">
        <v>101</v>
      </c>
      <c r="C1195" s="319"/>
      <c r="D1195" s="263"/>
      <c r="E1195" s="21"/>
      <c r="F1195" s="44"/>
    </row>
    <row r="1196" spans="1:6">
      <c r="A1196" s="211" t="s">
        <v>81</v>
      </c>
      <c r="B1196" s="314" t="s">
        <v>102</v>
      </c>
      <c r="C1196" s="208"/>
      <c r="D1196" s="209"/>
      <c r="E1196" s="21"/>
      <c r="F1196" s="44"/>
    </row>
    <row r="1197" spans="1:6">
      <c r="A1197" s="211"/>
      <c r="B1197" s="207" t="s">
        <v>113</v>
      </c>
      <c r="C1197" s="294"/>
      <c r="D1197" s="274"/>
      <c r="E1197" s="21"/>
      <c r="F1197" s="44"/>
    </row>
    <row r="1198" spans="1:6">
      <c r="A1198" s="233"/>
      <c r="B1198" s="207" t="s">
        <v>110</v>
      </c>
      <c r="C1198" s="294"/>
      <c r="D1198" s="274"/>
      <c r="E1198" s="44"/>
      <c r="F1198" s="44"/>
    </row>
    <row r="1199" spans="1:6">
      <c r="A1199" s="211" t="s">
        <v>82</v>
      </c>
      <c r="B1199" s="307" t="s">
        <v>103</v>
      </c>
      <c r="C1199" s="280"/>
      <c r="D1199" s="271"/>
      <c r="E1199" s="21"/>
      <c r="F1199" s="44"/>
    </row>
    <row r="1200" spans="1:6">
      <c r="A1200" s="211"/>
      <c r="B1200" s="307" t="s">
        <v>104</v>
      </c>
      <c r="C1200" s="280"/>
      <c r="D1200" s="271"/>
      <c r="E1200" s="21"/>
      <c r="F1200" s="44"/>
    </row>
    <row r="1201" spans="1:6">
      <c r="A1201" s="211"/>
      <c r="B1201" s="307" t="s">
        <v>105</v>
      </c>
      <c r="C1201" s="280"/>
      <c r="D1201" s="271"/>
      <c r="E1201" s="21"/>
      <c r="F1201" s="44"/>
    </row>
    <row r="1202" spans="1:6">
      <c r="A1202" s="211"/>
      <c r="B1202" s="207" t="s">
        <v>115</v>
      </c>
      <c r="C1202" s="208"/>
      <c r="D1202" s="209"/>
      <c r="E1202" s="21"/>
      <c r="F1202" s="44"/>
    </row>
    <row r="1203" spans="1:6">
      <c r="A1203" s="211"/>
      <c r="B1203" s="307" t="s">
        <v>106</v>
      </c>
      <c r="C1203" s="280"/>
      <c r="D1203" s="271"/>
      <c r="E1203" s="21"/>
      <c r="F1203" s="44"/>
    </row>
    <row r="1204" spans="1:6">
      <c r="A1204" s="211"/>
      <c r="B1204" s="307" t="s">
        <v>107</v>
      </c>
      <c r="C1204" s="280"/>
      <c r="D1204" s="271"/>
      <c r="E1204" s="21"/>
      <c r="F1204" s="44"/>
    </row>
    <row r="1205" spans="1:6">
      <c r="F1205" s="10">
        <f>SUM(F1117:F1204)</f>
        <v>8200</v>
      </c>
    </row>
  </sheetData>
  <mergeCells count="1284">
    <mergeCell ref="B29:D29"/>
    <mergeCell ref="B28:D28"/>
    <mergeCell ref="B27:D27"/>
    <mergeCell ref="B26:D26"/>
    <mergeCell ref="B25:D25"/>
    <mergeCell ref="B24:D24"/>
    <mergeCell ref="B23:D23"/>
    <mergeCell ref="B22:D22"/>
    <mergeCell ref="B21:D21"/>
    <mergeCell ref="B11:D11"/>
    <mergeCell ref="B10:D10"/>
    <mergeCell ref="B8:D8"/>
    <mergeCell ref="B20:D20"/>
    <mergeCell ref="B19:D19"/>
    <mergeCell ref="B18:D18"/>
    <mergeCell ref="B17:D17"/>
    <mergeCell ref="B16:D16"/>
    <mergeCell ref="B15:D15"/>
    <mergeCell ref="B14:D14"/>
    <mergeCell ref="B13:D13"/>
    <mergeCell ref="B12:D12"/>
    <mergeCell ref="A92:A97"/>
    <mergeCell ref="A52:A57"/>
    <mergeCell ref="A58:A59"/>
    <mergeCell ref="A60:F60"/>
    <mergeCell ref="A61:A64"/>
    <mergeCell ref="A65:A67"/>
    <mergeCell ref="A68:F68"/>
    <mergeCell ref="A1:F1"/>
    <mergeCell ref="A69:A75"/>
    <mergeCell ref="A76:A87"/>
    <mergeCell ref="A89:A91"/>
    <mergeCell ref="A23:A24"/>
    <mergeCell ref="A25:A28"/>
    <mergeCell ref="A30:F30"/>
    <mergeCell ref="A31:A38"/>
    <mergeCell ref="A39:A45"/>
    <mergeCell ref="A46:A50"/>
    <mergeCell ref="A9:F9"/>
    <mergeCell ref="A10:A15"/>
    <mergeCell ref="A16:A20"/>
    <mergeCell ref="A21:A22"/>
    <mergeCell ref="B31:D31"/>
    <mergeCell ref="B32:D32"/>
    <mergeCell ref="B33:D33"/>
    <mergeCell ref="B62:D62"/>
    <mergeCell ref="B63:D63"/>
    <mergeCell ref="B64:D64"/>
    <mergeCell ref="B65:D65"/>
    <mergeCell ref="B66:D66"/>
    <mergeCell ref="B67:D67"/>
    <mergeCell ref="B69:D69"/>
    <mergeCell ref="B70:D70"/>
    <mergeCell ref="B34:D34"/>
    <mergeCell ref="B35:D35"/>
    <mergeCell ref="B36:D36"/>
    <mergeCell ref="B37:D37"/>
    <mergeCell ref="B38:D38"/>
    <mergeCell ref="B39:D39"/>
    <mergeCell ref="B49:D49"/>
    <mergeCell ref="B50:D50"/>
    <mergeCell ref="B51:D51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72:D72"/>
    <mergeCell ref="B73:D73"/>
    <mergeCell ref="B74:D74"/>
    <mergeCell ref="B75:D75"/>
    <mergeCell ref="B76:D76"/>
    <mergeCell ref="B77:D77"/>
    <mergeCell ref="B78:D78"/>
    <mergeCell ref="B79:D79"/>
    <mergeCell ref="B80:D80"/>
    <mergeCell ref="B52:D52"/>
    <mergeCell ref="B53:D53"/>
    <mergeCell ref="B54:D54"/>
    <mergeCell ref="B55:D55"/>
    <mergeCell ref="B56:D56"/>
    <mergeCell ref="B57:D57"/>
    <mergeCell ref="B58:D58"/>
    <mergeCell ref="B59:D59"/>
    <mergeCell ref="B61:D61"/>
    <mergeCell ref="B71:D71"/>
    <mergeCell ref="B90:D90"/>
    <mergeCell ref="B91:D91"/>
    <mergeCell ref="B92:D92"/>
    <mergeCell ref="B93:D93"/>
    <mergeCell ref="B94:D94"/>
    <mergeCell ref="B95:D95"/>
    <mergeCell ref="B96:D96"/>
    <mergeCell ref="B97:D97"/>
    <mergeCell ref="B81:D81"/>
    <mergeCell ref="B82:D82"/>
    <mergeCell ref="B83:D83"/>
    <mergeCell ref="B84:D84"/>
    <mergeCell ref="B85:D85"/>
    <mergeCell ref="B86:D86"/>
    <mergeCell ref="B87:D87"/>
    <mergeCell ref="B88:D88"/>
    <mergeCell ref="B89:D89"/>
    <mergeCell ref="A116:A120"/>
    <mergeCell ref="B116:D116"/>
    <mergeCell ref="B117:D117"/>
    <mergeCell ref="B118:D118"/>
    <mergeCell ref="B119:D119"/>
    <mergeCell ref="B120:D120"/>
    <mergeCell ref="A121:A122"/>
    <mergeCell ref="B121:D121"/>
    <mergeCell ref="B122:D122"/>
    <mergeCell ref="A101:F101"/>
    <mergeCell ref="B108:D108"/>
    <mergeCell ref="A109:F109"/>
    <mergeCell ref="A110:A115"/>
    <mergeCell ref="B110:D110"/>
    <mergeCell ref="B111:D111"/>
    <mergeCell ref="B112:D112"/>
    <mergeCell ref="B113:D113"/>
    <mergeCell ref="B114:D114"/>
    <mergeCell ref="B115:D115"/>
    <mergeCell ref="A130:F130"/>
    <mergeCell ref="A131:A138"/>
    <mergeCell ref="B131:D131"/>
    <mergeCell ref="B132:D132"/>
    <mergeCell ref="B133:D133"/>
    <mergeCell ref="B134:D134"/>
    <mergeCell ref="B135:D135"/>
    <mergeCell ref="B136:D136"/>
    <mergeCell ref="B137:D137"/>
    <mergeCell ref="B138:D138"/>
    <mergeCell ref="A123:A124"/>
    <mergeCell ref="B123:D123"/>
    <mergeCell ref="B124:D124"/>
    <mergeCell ref="A125:A128"/>
    <mergeCell ref="B125:D125"/>
    <mergeCell ref="B126:D126"/>
    <mergeCell ref="B127:D127"/>
    <mergeCell ref="B128:D128"/>
    <mergeCell ref="B129:D129"/>
    <mergeCell ref="B151:D151"/>
    <mergeCell ref="A152:A157"/>
    <mergeCell ref="B152:D152"/>
    <mergeCell ref="B153:D153"/>
    <mergeCell ref="B154:D154"/>
    <mergeCell ref="B155:D155"/>
    <mergeCell ref="B156:D156"/>
    <mergeCell ref="B157:D157"/>
    <mergeCell ref="A158:A159"/>
    <mergeCell ref="B158:D158"/>
    <mergeCell ref="B159:D159"/>
    <mergeCell ref="A139:A145"/>
    <mergeCell ref="B139:D139"/>
    <mergeCell ref="B140:D140"/>
    <mergeCell ref="B141:D141"/>
    <mergeCell ref="B142:D142"/>
    <mergeCell ref="B143:D143"/>
    <mergeCell ref="B144:D144"/>
    <mergeCell ref="B145:D145"/>
    <mergeCell ref="A146:A150"/>
    <mergeCell ref="B146:D146"/>
    <mergeCell ref="B147:D147"/>
    <mergeCell ref="B148:D148"/>
    <mergeCell ref="B149:D149"/>
    <mergeCell ref="B150:D150"/>
    <mergeCell ref="A168:F168"/>
    <mergeCell ref="A169:A175"/>
    <mergeCell ref="B169:D169"/>
    <mergeCell ref="B170:D170"/>
    <mergeCell ref="B171:D171"/>
    <mergeCell ref="B172:D172"/>
    <mergeCell ref="B173:D173"/>
    <mergeCell ref="B174:D174"/>
    <mergeCell ref="B175:D175"/>
    <mergeCell ref="A160:F160"/>
    <mergeCell ref="A161:A164"/>
    <mergeCell ref="B161:D161"/>
    <mergeCell ref="B162:D162"/>
    <mergeCell ref="B163:D163"/>
    <mergeCell ref="B164:D164"/>
    <mergeCell ref="A165:A167"/>
    <mergeCell ref="B165:D165"/>
    <mergeCell ref="B166:D166"/>
    <mergeCell ref="B167:D167"/>
    <mergeCell ref="B188:D188"/>
    <mergeCell ref="A189:A191"/>
    <mergeCell ref="B189:D189"/>
    <mergeCell ref="B190:D190"/>
    <mergeCell ref="B191:D191"/>
    <mergeCell ref="A192:A197"/>
    <mergeCell ref="B192:D192"/>
    <mergeCell ref="B193:D193"/>
    <mergeCell ref="B194:D194"/>
    <mergeCell ref="B195:D195"/>
    <mergeCell ref="B196:D196"/>
    <mergeCell ref="B197:D197"/>
    <mergeCell ref="A176:A187"/>
    <mergeCell ref="B176:D176"/>
    <mergeCell ref="B177:D177"/>
    <mergeCell ref="B178:D178"/>
    <mergeCell ref="B179:D179"/>
    <mergeCell ref="B180:D180"/>
    <mergeCell ref="B181:D181"/>
    <mergeCell ref="B182:D182"/>
    <mergeCell ref="B183:D183"/>
    <mergeCell ref="B184:D184"/>
    <mergeCell ref="B185:D185"/>
    <mergeCell ref="B186:D186"/>
    <mergeCell ref="B187:D187"/>
    <mergeCell ref="A216:A220"/>
    <mergeCell ref="B216:D216"/>
    <mergeCell ref="B217:D217"/>
    <mergeCell ref="B218:D218"/>
    <mergeCell ref="B219:D219"/>
    <mergeCell ref="B220:D220"/>
    <mergeCell ref="A221:A222"/>
    <mergeCell ref="B221:D221"/>
    <mergeCell ref="B222:D222"/>
    <mergeCell ref="A201:F201"/>
    <mergeCell ref="B208:D208"/>
    <mergeCell ref="A209:F209"/>
    <mergeCell ref="A210:A215"/>
    <mergeCell ref="B210:D210"/>
    <mergeCell ref="B211:D211"/>
    <mergeCell ref="B212:D212"/>
    <mergeCell ref="B213:D213"/>
    <mergeCell ref="B214:D214"/>
    <mergeCell ref="B215:D215"/>
    <mergeCell ref="A230:F230"/>
    <mergeCell ref="A231:A238"/>
    <mergeCell ref="B231:D231"/>
    <mergeCell ref="B232:D232"/>
    <mergeCell ref="B233:D233"/>
    <mergeCell ref="B234:D234"/>
    <mergeCell ref="B235:D235"/>
    <mergeCell ref="B236:D236"/>
    <mergeCell ref="B237:D237"/>
    <mergeCell ref="B238:D238"/>
    <mergeCell ref="A223:A224"/>
    <mergeCell ref="B223:D223"/>
    <mergeCell ref="B224:D224"/>
    <mergeCell ref="A225:A228"/>
    <mergeCell ref="B225:D225"/>
    <mergeCell ref="B226:D226"/>
    <mergeCell ref="B227:D227"/>
    <mergeCell ref="B228:D228"/>
    <mergeCell ref="B229:D229"/>
    <mergeCell ref="B251:D251"/>
    <mergeCell ref="A252:A257"/>
    <mergeCell ref="B252:D252"/>
    <mergeCell ref="B253:D253"/>
    <mergeCell ref="B254:D254"/>
    <mergeCell ref="B255:D255"/>
    <mergeCell ref="B256:D256"/>
    <mergeCell ref="B257:D257"/>
    <mergeCell ref="A258:A259"/>
    <mergeCell ref="B258:D258"/>
    <mergeCell ref="B259:D259"/>
    <mergeCell ref="A239:A245"/>
    <mergeCell ref="B239:D239"/>
    <mergeCell ref="B240:D240"/>
    <mergeCell ref="B241:D241"/>
    <mergeCell ref="B242:D242"/>
    <mergeCell ref="B243:D243"/>
    <mergeCell ref="B244:D244"/>
    <mergeCell ref="B245:D245"/>
    <mergeCell ref="A246:A250"/>
    <mergeCell ref="B246:D246"/>
    <mergeCell ref="B247:D247"/>
    <mergeCell ref="B248:D248"/>
    <mergeCell ref="B249:D249"/>
    <mergeCell ref="B250:D250"/>
    <mergeCell ref="A268:F268"/>
    <mergeCell ref="A269:A275"/>
    <mergeCell ref="B269:D269"/>
    <mergeCell ref="B270:D270"/>
    <mergeCell ref="B271:D271"/>
    <mergeCell ref="B272:D272"/>
    <mergeCell ref="B273:D273"/>
    <mergeCell ref="B274:D274"/>
    <mergeCell ref="B275:D275"/>
    <mergeCell ref="A260:F260"/>
    <mergeCell ref="A261:A264"/>
    <mergeCell ref="B261:D261"/>
    <mergeCell ref="B262:D262"/>
    <mergeCell ref="B263:D263"/>
    <mergeCell ref="B264:D264"/>
    <mergeCell ref="A265:A267"/>
    <mergeCell ref="B265:D265"/>
    <mergeCell ref="B266:D266"/>
    <mergeCell ref="B267:D267"/>
    <mergeCell ref="B288:D288"/>
    <mergeCell ref="A289:A291"/>
    <mergeCell ref="B289:D289"/>
    <mergeCell ref="B290:D290"/>
    <mergeCell ref="B291:D291"/>
    <mergeCell ref="A292:A297"/>
    <mergeCell ref="B292:D292"/>
    <mergeCell ref="B293:D293"/>
    <mergeCell ref="B294:D294"/>
    <mergeCell ref="B295:D295"/>
    <mergeCell ref="B296:D296"/>
    <mergeCell ref="B297:D297"/>
    <mergeCell ref="A276:A287"/>
    <mergeCell ref="B276:D276"/>
    <mergeCell ref="B277:D277"/>
    <mergeCell ref="B278:D278"/>
    <mergeCell ref="B279:D279"/>
    <mergeCell ref="B280:D280"/>
    <mergeCell ref="B281:D281"/>
    <mergeCell ref="B282:D282"/>
    <mergeCell ref="B283:D283"/>
    <mergeCell ref="B284:D284"/>
    <mergeCell ref="B285:D285"/>
    <mergeCell ref="B286:D286"/>
    <mergeCell ref="B287:D287"/>
    <mergeCell ref="A316:A320"/>
    <mergeCell ref="B316:D316"/>
    <mergeCell ref="B317:D317"/>
    <mergeCell ref="B318:D318"/>
    <mergeCell ref="B319:D319"/>
    <mergeCell ref="B320:D320"/>
    <mergeCell ref="A321:A322"/>
    <mergeCell ref="B321:D321"/>
    <mergeCell ref="B322:D322"/>
    <mergeCell ref="A301:F301"/>
    <mergeCell ref="B308:D308"/>
    <mergeCell ref="A309:F309"/>
    <mergeCell ref="A310:A315"/>
    <mergeCell ref="B310:D310"/>
    <mergeCell ref="B311:D311"/>
    <mergeCell ref="B312:D312"/>
    <mergeCell ref="B313:D313"/>
    <mergeCell ref="B314:D314"/>
    <mergeCell ref="B315:D315"/>
    <mergeCell ref="A330:F330"/>
    <mergeCell ref="A331:A338"/>
    <mergeCell ref="B331:D331"/>
    <mergeCell ref="B332:D332"/>
    <mergeCell ref="B333:D333"/>
    <mergeCell ref="B334:D334"/>
    <mergeCell ref="B335:D335"/>
    <mergeCell ref="B336:D336"/>
    <mergeCell ref="B337:D337"/>
    <mergeCell ref="B338:D338"/>
    <mergeCell ref="A323:A324"/>
    <mergeCell ref="B323:D323"/>
    <mergeCell ref="B324:D324"/>
    <mergeCell ref="A325:A328"/>
    <mergeCell ref="B325:D325"/>
    <mergeCell ref="B326:D326"/>
    <mergeCell ref="B327:D327"/>
    <mergeCell ref="B328:D328"/>
    <mergeCell ref="B329:D329"/>
    <mergeCell ref="B351:D351"/>
    <mergeCell ref="A352:A357"/>
    <mergeCell ref="B352:D352"/>
    <mergeCell ref="B353:D353"/>
    <mergeCell ref="B354:D354"/>
    <mergeCell ref="B355:D355"/>
    <mergeCell ref="B356:D356"/>
    <mergeCell ref="B357:D357"/>
    <mergeCell ref="A358:A359"/>
    <mergeCell ref="B358:D358"/>
    <mergeCell ref="B359:D359"/>
    <mergeCell ref="A339:A345"/>
    <mergeCell ref="B339:D339"/>
    <mergeCell ref="B340:D340"/>
    <mergeCell ref="B341:D341"/>
    <mergeCell ref="B342:D342"/>
    <mergeCell ref="B343:D343"/>
    <mergeCell ref="B344:D344"/>
    <mergeCell ref="B345:D345"/>
    <mergeCell ref="A346:A350"/>
    <mergeCell ref="B346:D346"/>
    <mergeCell ref="B347:D347"/>
    <mergeCell ref="B348:D348"/>
    <mergeCell ref="B349:D349"/>
    <mergeCell ref="B350:D350"/>
    <mergeCell ref="A368:F368"/>
    <mergeCell ref="A369:A375"/>
    <mergeCell ref="B369:D369"/>
    <mergeCell ref="B370:D370"/>
    <mergeCell ref="B371:D371"/>
    <mergeCell ref="B372:D372"/>
    <mergeCell ref="B373:D373"/>
    <mergeCell ref="B374:D374"/>
    <mergeCell ref="B375:D375"/>
    <mergeCell ref="A360:F360"/>
    <mergeCell ref="A361:A364"/>
    <mergeCell ref="B361:D361"/>
    <mergeCell ref="B362:D362"/>
    <mergeCell ref="B363:D363"/>
    <mergeCell ref="B364:D364"/>
    <mergeCell ref="A365:A367"/>
    <mergeCell ref="B365:D365"/>
    <mergeCell ref="B366:D366"/>
    <mergeCell ref="B367:D367"/>
    <mergeCell ref="B388:D388"/>
    <mergeCell ref="A389:A391"/>
    <mergeCell ref="B389:D389"/>
    <mergeCell ref="B390:D390"/>
    <mergeCell ref="B391:D391"/>
    <mergeCell ref="A392:A397"/>
    <mergeCell ref="B392:D392"/>
    <mergeCell ref="B393:D393"/>
    <mergeCell ref="B394:D394"/>
    <mergeCell ref="B395:D395"/>
    <mergeCell ref="B396:D396"/>
    <mergeCell ref="B397:D397"/>
    <mergeCell ref="A376:A387"/>
    <mergeCell ref="B376:D376"/>
    <mergeCell ref="B377:D377"/>
    <mergeCell ref="B378:D378"/>
    <mergeCell ref="B379:D379"/>
    <mergeCell ref="B380:D380"/>
    <mergeCell ref="B381:D381"/>
    <mergeCell ref="B382:D382"/>
    <mergeCell ref="B383:D383"/>
    <mergeCell ref="B384:D384"/>
    <mergeCell ref="B385:D385"/>
    <mergeCell ref="B386:D386"/>
    <mergeCell ref="B387:D387"/>
    <mergeCell ref="A417:A421"/>
    <mergeCell ref="B417:D417"/>
    <mergeCell ref="B418:D418"/>
    <mergeCell ref="B419:D419"/>
    <mergeCell ref="B420:D420"/>
    <mergeCell ref="B421:D421"/>
    <mergeCell ref="A422:A423"/>
    <mergeCell ref="B422:D422"/>
    <mergeCell ref="B423:D423"/>
    <mergeCell ref="A402:F402"/>
    <mergeCell ref="B409:D409"/>
    <mergeCell ref="A410:F410"/>
    <mergeCell ref="A411:A416"/>
    <mergeCell ref="B411:D411"/>
    <mergeCell ref="B412:D412"/>
    <mergeCell ref="B413:D413"/>
    <mergeCell ref="B414:D414"/>
    <mergeCell ref="B415:D415"/>
    <mergeCell ref="B416:D416"/>
    <mergeCell ref="A431:F431"/>
    <mergeCell ref="A432:A439"/>
    <mergeCell ref="B432:D432"/>
    <mergeCell ref="B433:D433"/>
    <mergeCell ref="B434:D434"/>
    <mergeCell ref="B435:D435"/>
    <mergeCell ref="B436:D436"/>
    <mergeCell ref="B437:D437"/>
    <mergeCell ref="B438:D438"/>
    <mergeCell ref="B439:D439"/>
    <mergeCell ref="A424:A425"/>
    <mergeCell ref="B424:D424"/>
    <mergeCell ref="B425:D425"/>
    <mergeCell ref="A426:A429"/>
    <mergeCell ref="B426:D426"/>
    <mergeCell ref="B427:D427"/>
    <mergeCell ref="B428:D428"/>
    <mergeCell ref="B429:D429"/>
    <mergeCell ref="B430:D430"/>
    <mergeCell ref="B452:D452"/>
    <mergeCell ref="A453:A458"/>
    <mergeCell ref="B453:D453"/>
    <mergeCell ref="B454:D454"/>
    <mergeCell ref="B455:D455"/>
    <mergeCell ref="B456:D456"/>
    <mergeCell ref="B457:D457"/>
    <mergeCell ref="B458:D458"/>
    <mergeCell ref="A459:A460"/>
    <mergeCell ref="B459:D459"/>
    <mergeCell ref="B460:D460"/>
    <mergeCell ref="A440:A446"/>
    <mergeCell ref="B440:D440"/>
    <mergeCell ref="B441:D441"/>
    <mergeCell ref="B442:D442"/>
    <mergeCell ref="B443:D443"/>
    <mergeCell ref="B444:D444"/>
    <mergeCell ref="B445:D445"/>
    <mergeCell ref="B446:D446"/>
    <mergeCell ref="A447:A451"/>
    <mergeCell ref="B447:D447"/>
    <mergeCell ref="B448:D448"/>
    <mergeCell ref="B449:D449"/>
    <mergeCell ref="B450:D450"/>
    <mergeCell ref="B451:D451"/>
    <mergeCell ref="A469:F469"/>
    <mergeCell ref="A470:A476"/>
    <mergeCell ref="B470:D470"/>
    <mergeCell ref="B471:D471"/>
    <mergeCell ref="B472:D472"/>
    <mergeCell ref="B473:D473"/>
    <mergeCell ref="B474:D474"/>
    <mergeCell ref="B475:D475"/>
    <mergeCell ref="B476:D476"/>
    <mergeCell ref="A461:F461"/>
    <mergeCell ref="A462:A465"/>
    <mergeCell ref="B462:D462"/>
    <mergeCell ref="B463:D463"/>
    <mergeCell ref="B464:D464"/>
    <mergeCell ref="B465:D465"/>
    <mergeCell ref="A466:A468"/>
    <mergeCell ref="B466:D466"/>
    <mergeCell ref="B467:D467"/>
    <mergeCell ref="B468:D468"/>
    <mergeCell ref="B489:D489"/>
    <mergeCell ref="A490:A492"/>
    <mergeCell ref="B490:D490"/>
    <mergeCell ref="B491:D491"/>
    <mergeCell ref="B492:D492"/>
    <mergeCell ref="A493:A498"/>
    <mergeCell ref="B493:D493"/>
    <mergeCell ref="B494:D494"/>
    <mergeCell ref="B495:D495"/>
    <mergeCell ref="B496:D496"/>
    <mergeCell ref="B497:D497"/>
    <mergeCell ref="B498:D498"/>
    <mergeCell ref="A477:A488"/>
    <mergeCell ref="B477:D477"/>
    <mergeCell ref="B478:D478"/>
    <mergeCell ref="B479:D479"/>
    <mergeCell ref="B480:D480"/>
    <mergeCell ref="B481:D481"/>
    <mergeCell ref="B482:D482"/>
    <mergeCell ref="B483:D483"/>
    <mergeCell ref="B484:D484"/>
    <mergeCell ref="B485:D485"/>
    <mergeCell ref="B486:D486"/>
    <mergeCell ref="B487:D487"/>
    <mergeCell ref="B488:D488"/>
    <mergeCell ref="A518:A522"/>
    <mergeCell ref="B518:D518"/>
    <mergeCell ref="B519:D519"/>
    <mergeCell ref="B520:D520"/>
    <mergeCell ref="B521:D521"/>
    <mergeCell ref="B522:D522"/>
    <mergeCell ref="A523:A524"/>
    <mergeCell ref="B523:D523"/>
    <mergeCell ref="B524:D524"/>
    <mergeCell ref="A503:F503"/>
    <mergeCell ref="B510:D510"/>
    <mergeCell ref="A511:F511"/>
    <mergeCell ref="A512:A517"/>
    <mergeCell ref="B512:D512"/>
    <mergeCell ref="B513:D513"/>
    <mergeCell ref="B514:D514"/>
    <mergeCell ref="B515:D515"/>
    <mergeCell ref="B516:D516"/>
    <mergeCell ref="B517:D517"/>
    <mergeCell ref="A532:F532"/>
    <mergeCell ref="A533:A540"/>
    <mergeCell ref="B533:D533"/>
    <mergeCell ref="B534:D534"/>
    <mergeCell ref="B535:D535"/>
    <mergeCell ref="B536:D536"/>
    <mergeCell ref="B537:D537"/>
    <mergeCell ref="B538:D538"/>
    <mergeCell ref="B539:D539"/>
    <mergeCell ref="B540:D540"/>
    <mergeCell ref="A525:A526"/>
    <mergeCell ref="B525:D525"/>
    <mergeCell ref="B526:D526"/>
    <mergeCell ref="A527:A530"/>
    <mergeCell ref="B527:D527"/>
    <mergeCell ref="B528:D528"/>
    <mergeCell ref="B529:D529"/>
    <mergeCell ref="B530:D530"/>
    <mergeCell ref="B531:D531"/>
    <mergeCell ref="B553:D553"/>
    <mergeCell ref="A554:A559"/>
    <mergeCell ref="B554:D554"/>
    <mergeCell ref="B555:D555"/>
    <mergeCell ref="B556:D556"/>
    <mergeCell ref="B557:D557"/>
    <mergeCell ref="B558:D558"/>
    <mergeCell ref="B559:D559"/>
    <mergeCell ref="A560:A561"/>
    <mergeCell ref="B560:D560"/>
    <mergeCell ref="B561:D561"/>
    <mergeCell ref="A541:A547"/>
    <mergeCell ref="B541:D541"/>
    <mergeCell ref="B542:D542"/>
    <mergeCell ref="B543:D543"/>
    <mergeCell ref="B544:D544"/>
    <mergeCell ref="B545:D545"/>
    <mergeCell ref="B546:D546"/>
    <mergeCell ref="B547:D547"/>
    <mergeCell ref="A548:A552"/>
    <mergeCell ref="B548:D548"/>
    <mergeCell ref="B549:D549"/>
    <mergeCell ref="B550:D550"/>
    <mergeCell ref="B551:D551"/>
    <mergeCell ref="B552:D552"/>
    <mergeCell ref="A570:F570"/>
    <mergeCell ref="A571:A577"/>
    <mergeCell ref="B571:D571"/>
    <mergeCell ref="B572:D572"/>
    <mergeCell ref="B573:D573"/>
    <mergeCell ref="B574:D574"/>
    <mergeCell ref="B575:D575"/>
    <mergeCell ref="B576:D576"/>
    <mergeCell ref="B577:D577"/>
    <mergeCell ref="A562:F562"/>
    <mergeCell ref="A563:A566"/>
    <mergeCell ref="B563:D563"/>
    <mergeCell ref="B564:D564"/>
    <mergeCell ref="B565:D565"/>
    <mergeCell ref="B566:D566"/>
    <mergeCell ref="A567:A569"/>
    <mergeCell ref="B567:D567"/>
    <mergeCell ref="B568:D568"/>
    <mergeCell ref="B569:D569"/>
    <mergeCell ref="B590:D590"/>
    <mergeCell ref="A591:A593"/>
    <mergeCell ref="B591:D591"/>
    <mergeCell ref="B592:D592"/>
    <mergeCell ref="B593:D593"/>
    <mergeCell ref="A594:A599"/>
    <mergeCell ref="B594:D594"/>
    <mergeCell ref="B595:D595"/>
    <mergeCell ref="B596:D596"/>
    <mergeCell ref="B597:D597"/>
    <mergeCell ref="B598:D598"/>
    <mergeCell ref="B599:D599"/>
    <mergeCell ref="A578:A589"/>
    <mergeCell ref="B578:D578"/>
    <mergeCell ref="B579:D579"/>
    <mergeCell ref="B580:D580"/>
    <mergeCell ref="B581:D581"/>
    <mergeCell ref="B582:D582"/>
    <mergeCell ref="B583:D583"/>
    <mergeCell ref="B584:D584"/>
    <mergeCell ref="B585:D585"/>
    <mergeCell ref="B586:D586"/>
    <mergeCell ref="B587:D587"/>
    <mergeCell ref="B588:D588"/>
    <mergeCell ref="B589:D589"/>
    <mergeCell ref="A619:A623"/>
    <mergeCell ref="B619:D619"/>
    <mergeCell ref="B620:D620"/>
    <mergeCell ref="B621:D621"/>
    <mergeCell ref="B622:D622"/>
    <mergeCell ref="B623:D623"/>
    <mergeCell ref="A624:A625"/>
    <mergeCell ref="B624:D624"/>
    <mergeCell ref="B625:D625"/>
    <mergeCell ref="A604:F604"/>
    <mergeCell ref="B611:D611"/>
    <mergeCell ref="A612:F612"/>
    <mergeCell ref="A613:A618"/>
    <mergeCell ref="B613:D613"/>
    <mergeCell ref="B614:D614"/>
    <mergeCell ref="B615:D615"/>
    <mergeCell ref="B616:D616"/>
    <mergeCell ref="B617:D617"/>
    <mergeCell ref="B618:D618"/>
    <mergeCell ref="A633:F633"/>
    <mergeCell ref="A634:A641"/>
    <mergeCell ref="B634:D634"/>
    <mergeCell ref="B635:D635"/>
    <mergeCell ref="B636:D636"/>
    <mergeCell ref="B637:D637"/>
    <mergeCell ref="B638:D638"/>
    <mergeCell ref="B639:D639"/>
    <mergeCell ref="B640:D640"/>
    <mergeCell ref="B641:D641"/>
    <mergeCell ref="A626:A627"/>
    <mergeCell ref="B626:D626"/>
    <mergeCell ref="B627:D627"/>
    <mergeCell ref="A628:A631"/>
    <mergeCell ref="B628:D628"/>
    <mergeCell ref="B629:D629"/>
    <mergeCell ref="B630:D630"/>
    <mergeCell ref="B631:D631"/>
    <mergeCell ref="B632:D632"/>
    <mergeCell ref="B654:D654"/>
    <mergeCell ref="A655:A660"/>
    <mergeCell ref="B655:D655"/>
    <mergeCell ref="B656:D656"/>
    <mergeCell ref="B657:D657"/>
    <mergeCell ref="B658:D658"/>
    <mergeCell ref="B659:D659"/>
    <mergeCell ref="B660:D660"/>
    <mergeCell ref="A661:A662"/>
    <mergeCell ref="B661:D661"/>
    <mergeCell ref="B662:D662"/>
    <mergeCell ref="A642:A648"/>
    <mergeCell ref="B642:D642"/>
    <mergeCell ref="B643:D643"/>
    <mergeCell ref="B644:D644"/>
    <mergeCell ref="B645:D645"/>
    <mergeCell ref="B646:D646"/>
    <mergeCell ref="B647:D647"/>
    <mergeCell ref="B648:D648"/>
    <mergeCell ref="A649:A653"/>
    <mergeCell ref="B649:D649"/>
    <mergeCell ref="B650:D650"/>
    <mergeCell ref="B651:D651"/>
    <mergeCell ref="B652:D652"/>
    <mergeCell ref="B653:D653"/>
    <mergeCell ref="A671:F671"/>
    <mergeCell ref="A672:A678"/>
    <mergeCell ref="B672:D672"/>
    <mergeCell ref="B673:D673"/>
    <mergeCell ref="B674:D674"/>
    <mergeCell ref="B675:D675"/>
    <mergeCell ref="B676:D676"/>
    <mergeCell ref="B677:D677"/>
    <mergeCell ref="B678:D678"/>
    <mergeCell ref="A663:F663"/>
    <mergeCell ref="A664:A667"/>
    <mergeCell ref="B664:D664"/>
    <mergeCell ref="B665:D665"/>
    <mergeCell ref="B666:D666"/>
    <mergeCell ref="B667:D667"/>
    <mergeCell ref="A668:A670"/>
    <mergeCell ref="B668:D668"/>
    <mergeCell ref="B669:D669"/>
    <mergeCell ref="B670:D670"/>
    <mergeCell ref="B691:D691"/>
    <mergeCell ref="A692:A694"/>
    <mergeCell ref="B692:D692"/>
    <mergeCell ref="B693:D693"/>
    <mergeCell ref="B694:D694"/>
    <mergeCell ref="A695:A700"/>
    <mergeCell ref="B695:D695"/>
    <mergeCell ref="B696:D696"/>
    <mergeCell ref="B697:D697"/>
    <mergeCell ref="B698:D698"/>
    <mergeCell ref="B699:D699"/>
    <mergeCell ref="B700:D700"/>
    <mergeCell ref="A679:A690"/>
    <mergeCell ref="B679:D679"/>
    <mergeCell ref="B680:D680"/>
    <mergeCell ref="B681:D681"/>
    <mergeCell ref="B682:D682"/>
    <mergeCell ref="B683:D683"/>
    <mergeCell ref="B684:D684"/>
    <mergeCell ref="B685:D685"/>
    <mergeCell ref="B686:D686"/>
    <mergeCell ref="B687:D687"/>
    <mergeCell ref="B688:D688"/>
    <mergeCell ref="B689:D689"/>
    <mergeCell ref="B690:D690"/>
    <mergeCell ref="A720:A724"/>
    <mergeCell ref="B720:D720"/>
    <mergeCell ref="B721:D721"/>
    <mergeCell ref="B722:D722"/>
    <mergeCell ref="B723:D723"/>
    <mergeCell ref="B724:D724"/>
    <mergeCell ref="A725:A726"/>
    <mergeCell ref="B725:D725"/>
    <mergeCell ref="B726:D726"/>
    <mergeCell ref="A705:F705"/>
    <mergeCell ref="B712:D712"/>
    <mergeCell ref="A713:F713"/>
    <mergeCell ref="A714:A719"/>
    <mergeCell ref="B714:D714"/>
    <mergeCell ref="B715:D715"/>
    <mergeCell ref="B716:D716"/>
    <mergeCell ref="B717:D717"/>
    <mergeCell ref="B718:D718"/>
    <mergeCell ref="B719:D719"/>
    <mergeCell ref="A734:F734"/>
    <mergeCell ref="A735:A742"/>
    <mergeCell ref="B735:D735"/>
    <mergeCell ref="B736:D736"/>
    <mergeCell ref="B737:D737"/>
    <mergeCell ref="B738:D738"/>
    <mergeCell ref="B739:D739"/>
    <mergeCell ref="B740:D740"/>
    <mergeCell ref="B741:D741"/>
    <mergeCell ref="B742:D742"/>
    <mergeCell ref="A727:A728"/>
    <mergeCell ref="B727:D727"/>
    <mergeCell ref="B728:D728"/>
    <mergeCell ref="A729:A732"/>
    <mergeCell ref="B729:D729"/>
    <mergeCell ref="B730:D730"/>
    <mergeCell ref="B731:D731"/>
    <mergeCell ref="B732:D732"/>
    <mergeCell ref="B733:D733"/>
    <mergeCell ref="B755:D755"/>
    <mergeCell ref="A756:A761"/>
    <mergeCell ref="B756:D756"/>
    <mergeCell ref="B757:D757"/>
    <mergeCell ref="B758:D758"/>
    <mergeCell ref="B759:D759"/>
    <mergeCell ref="B760:D760"/>
    <mergeCell ref="B761:D761"/>
    <mergeCell ref="A762:A763"/>
    <mergeCell ref="B762:D762"/>
    <mergeCell ref="B763:D763"/>
    <mergeCell ref="A743:A749"/>
    <mergeCell ref="B743:D743"/>
    <mergeCell ref="B744:D744"/>
    <mergeCell ref="B745:D745"/>
    <mergeCell ref="B746:D746"/>
    <mergeCell ref="B747:D747"/>
    <mergeCell ref="B748:D748"/>
    <mergeCell ref="B749:D749"/>
    <mergeCell ref="A750:A754"/>
    <mergeCell ref="B750:D750"/>
    <mergeCell ref="B751:D751"/>
    <mergeCell ref="B752:D752"/>
    <mergeCell ref="B753:D753"/>
    <mergeCell ref="B754:D754"/>
    <mergeCell ref="A772:F772"/>
    <mergeCell ref="A773:A779"/>
    <mergeCell ref="B773:D773"/>
    <mergeCell ref="B774:D774"/>
    <mergeCell ref="B775:D775"/>
    <mergeCell ref="B776:D776"/>
    <mergeCell ref="B777:D777"/>
    <mergeCell ref="B778:D778"/>
    <mergeCell ref="B779:D779"/>
    <mergeCell ref="A764:F764"/>
    <mergeCell ref="A765:A768"/>
    <mergeCell ref="B765:D765"/>
    <mergeCell ref="B766:D766"/>
    <mergeCell ref="B767:D767"/>
    <mergeCell ref="B768:D768"/>
    <mergeCell ref="A769:A771"/>
    <mergeCell ref="B769:D769"/>
    <mergeCell ref="B770:D770"/>
    <mergeCell ref="B771:D771"/>
    <mergeCell ref="B792:D792"/>
    <mergeCell ref="A793:A795"/>
    <mergeCell ref="B793:D793"/>
    <mergeCell ref="B794:D794"/>
    <mergeCell ref="B795:D795"/>
    <mergeCell ref="A796:A801"/>
    <mergeCell ref="B796:D796"/>
    <mergeCell ref="B797:D797"/>
    <mergeCell ref="B798:D798"/>
    <mergeCell ref="B799:D799"/>
    <mergeCell ref="B800:D800"/>
    <mergeCell ref="B801:D801"/>
    <mergeCell ref="A780:A791"/>
    <mergeCell ref="B780:D780"/>
    <mergeCell ref="B781:D781"/>
    <mergeCell ref="B782:D782"/>
    <mergeCell ref="B783:D783"/>
    <mergeCell ref="B784:D784"/>
    <mergeCell ref="B785:D785"/>
    <mergeCell ref="B786:D786"/>
    <mergeCell ref="B787:D787"/>
    <mergeCell ref="B788:D788"/>
    <mergeCell ref="B789:D789"/>
    <mergeCell ref="B790:D790"/>
    <mergeCell ref="B791:D791"/>
    <mergeCell ref="A821:A825"/>
    <mergeCell ref="B821:D821"/>
    <mergeCell ref="B822:D822"/>
    <mergeCell ref="B823:D823"/>
    <mergeCell ref="B824:D824"/>
    <mergeCell ref="B825:D825"/>
    <mergeCell ref="A826:A827"/>
    <mergeCell ref="B826:D826"/>
    <mergeCell ref="B827:D827"/>
    <mergeCell ref="A806:F806"/>
    <mergeCell ref="B813:D813"/>
    <mergeCell ref="A814:F814"/>
    <mergeCell ref="A815:A820"/>
    <mergeCell ref="B815:D815"/>
    <mergeCell ref="B816:D816"/>
    <mergeCell ref="B817:D817"/>
    <mergeCell ref="B818:D818"/>
    <mergeCell ref="B819:D819"/>
    <mergeCell ref="B820:D820"/>
    <mergeCell ref="A835:F835"/>
    <mergeCell ref="A836:A843"/>
    <mergeCell ref="B836:D836"/>
    <mergeCell ref="B837:D837"/>
    <mergeCell ref="B838:D838"/>
    <mergeCell ref="B839:D839"/>
    <mergeCell ref="B840:D840"/>
    <mergeCell ref="B841:D841"/>
    <mergeCell ref="B842:D842"/>
    <mergeCell ref="B843:D843"/>
    <mergeCell ref="A828:A829"/>
    <mergeCell ref="B828:D828"/>
    <mergeCell ref="B829:D829"/>
    <mergeCell ref="A830:A833"/>
    <mergeCell ref="B830:D830"/>
    <mergeCell ref="B831:D831"/>
    <mergeCell ref="B832:D832"/>
    <mergeCell ref="B833:D833"/>
    <mergeCell ref="B834:D834"/>
    <mergeCell ref="B856:D856"/>
    <mergeCell ref="A857:A862"/>
    <mergeCell ref="B857:D857"/>
    <mergeCell ref="B858:D858"/>
    <mergeCell ref="B859:D859"/>
    <mergeCell ref="B860:D860"/>
    <mergeCell ref="B861:D861"/>
    <mergeCell ref="B862:D862"/>
    <mergeCell ref="A863:A864"/>
    <mergeCell ref="B863:D863"/>
    <mergeCell ref="B864:D864"/>
    <mergeCell ref="A844:A850"/>
    <mergeCell ref="B844:D844"/>
    <mergeCell ref="B845:D845"/>
    <mergeCell ref="B846:D846"/>
    <mergeCell ref="B847:D847"/>
    <mergeCell ref="B848:D848"/>
    <mergeCell ref="B849:D849"/>
    <mergeCell ref="B850:D850"/>
    <mergeCell ref="A851:A855"/>
    <mergeCell ref="B851:D851"/>
    <mergeCell ref="B852:D852"/>
    <mergeCell ref="B853:D853"/>
    <mergeCell ref="B854:D854"/>
    <mergeCell ref="B855:D855"/>
    <mergeCell ref="A873:F873"/>
    <mergeCell ref="A874:A880"/>
    <mergeCell ref="B874:D874"/>
    <mergeCell ref="B875:D875"/>
    <mergeCell ref="B876:D876"/>
    <mergeCell ref="B877:D877"/>
    <mergeCell ref="B878:D878"/>
    <mergeCell ref="B879:D879"/>
    <mergeCell ref="B880:D880"/>
    <mergeCell ref="A865:F865"/>
    <mergeCell ref="A866:A869"/>
    <mergeCell ref="B866:D866"/>
    <mergeCell ref="B867:D867"/>
    <mergeCell ref="B868:D868"/>
    <mergeCell ref="B869:D869"/>
    <mergeCell ref="A870:A872"/>
    <mergeCell ref="B870:D870"/>
    <mergeCell ref="B871:D871"/>
    <mergeCell ref="B872:D872"/>
    <mergeCell ref="B893:D893"/>
    <mergeCell ref="A894:A896"/>
    <mergeCell ref="B894:D894"/>
    <mergeCell ref="B895:D895"/>
    <mergeCell ref="B896:D896"/>
    <mergeCell ref="A897:A902"/>
    <mergeCell ref="B897:D897"/>
    <mergeCell ref="B898:D898"/>
    <mergeCell ref="B899:D899"/>
    <mergeCell ref="B900:D900"/>
    <mergeCell ref="B901:D901"/>
    <mergeCell ref="B902:D902"/>
    <mergeCell ref="A881:A892"/>
    <mergeCell ref="B881:D881"/>
    <mergeCell ref="B882:D882"/>
    <mergeCell ref="B883:D883"/>
    <mergeCell ref="B884:D884"/>
    <mergeCell ref="B885:D885"/>
    <mergeCell ref="B886:D886"/>
    <mergeCell ref="B887:D887"/>
    <mergeCell ref="B888:D888"/>
    <mergeCell ref="B889:D889"/>
    <mergeCell ref="B890:D890"/>
    <mergeCell ref="B891:D891"/>
    <mergeCell ref="B892:D892"/>
    <mergeCell ref="A922:A926"/>
    <mergeCell ref="B922:D922"/>
    <mergeCell ref="B923:D923"/>
    <mergeCell ref="B924:D924"/>
    <mergeCell ref="B925:D925"/>
    <mergeCell ref="B926:D926"/>
    <mergeCell ref="A927:A928"/>
    <mergeCell ref="B927:D927"/>
    <mergeCell ref="B928:D928"/>
    <mergeCell ref="A907:F907"/>
    <mergeCell ref="B914:D914"/>
    <mergeCell ref="A915:F915"/>
    <mergeCell ref="A916:A921"/>
    <mergeCell ref="B916:D916"/>
    <mergeCell ref="B917:D917"/>
    <mergeCell ref="B918:D918"/>
    <mergeCell ref="B919:D919"/>
    <mergeCell ref="B920:D920"/>
    <mergeCell ref="B921:D921"/>
    <mergeCell ref="A936:F936"/>
    <mergeCell ref="A937:A944"/>
    <mergeCell ref="B937:D937"/>
    <mergeCell ref="B938:D938"/>
    <mergeCell ref="B939:D939"/>
    <mergeCell ref="B940:D940"/>
    <mergeCell ref="B941:D941"/>
    <mergeCell ref="B942:D942"/>
    <mergeCell ref="B943:D943"/>
    <mergeCell ref="B944:D944"/>
    <mergeCell ref="A929:A930"/>
    <mergeCell ref="B929:D929"/>
    <mergeCell ref="B930:D930"/>
    <mergeCell ref="A931:A934"/>
    <mergeCell ref="B931:D931"/>
    <mergeCell ref="B932:D932"/>
    <mergeCell ref="B933:D933"/>
    <mergeCell ref="B934:D934"/>
    <mergeCell ref="B935:D935"/>
    <mergeCell ref="B957:D957"/>
    <mergeCell ref="A958:A963"/>
    <mergeCell ref="B958:D958"/>
    <mergeCell ref="B959:D959"/>
    <mergeCell ref="B960:D960"/>
    <mergeCell ref="B961:D961"/>
    <mergeCell ref="B962:D962"/>
    <mergeCell ref="B963:D963"/>
    <mergeCell ref="A964:A965"/>
    <mergeCell ref="B964:D964"/>
    <mergeCell ref="B965:D965"/>
    <mergeCell ref="A945:A951"/>
    <mergeCell ref="B945:D945"/>
    <mergeCell ref="B946:D946"/>
    <mergeCell ref="B947:D947"/>
    <mergeCell ref="B948:D948"/>
    <mergeCell ref="B949:D949"/>
    <mergeCell ref="B950:D950"/>
    <mergeCell ref="B951:D951"/>
    <mergeCell ref="A952:A956"/>
    <mergeCell ref="B952:D952"/>
    <mergeCell ref="B953:D953"/>
    <mergeCell ref="B954:D954"/>
    <mergeCell ref="B955:D955"/>
    <mergeCell ref="B956:D956"/>
    <mergeCell ref="A974:F974"/>
    <mergeCell ref="A975:A981"/>
    <mergeCell ref="B975:D975"/>
    <mergeCell ref="B976:D976"/>
    <mergeCell ref="B977:D977"/>
    <mergeCell ref="B978:D978"/>
    <mergeCell ref="B979:D979"/>
    <mergeCell ref="B980:D980"/>
    <mergeCell ref="B981:D981"/>
    <mergeCell ref="A966:F966"/>
    <mergeCell ref="A967:A970"/>
    <mergeCell ref="B967:D967"/>
    <mergeCell ref="B968:D968"/>
    <mergeCell ref="B969:D969"/>
    <mergeCell ref="B970:D970"/>
    <mergeCell ref="A971:A973"/>
    <mergeCell ref="B971:D971"/>
    <mergeCell ref="B972:D972"/>
    <mergeCell ref="B973:D973"/>
    <mergeCell ref="B994:D994"/>
    <mergeCell ref="A995:A997"/>
    <mergeCell ref="B995:D995"/>
    <mergeCell ref="B996:D996"/>
    <mergeCell ref="B997:D997"/>
    <mergeCell ref="A998:A1003"/>
    <mergeCell ref="B998:D998"/>
    <mergeCell ref="B999:D999"/>
    <mergeCell ref="B1000:D1000"/>
    <mergeCell ref="B1001:D1001"/>
    <mergeCell ref="B1002:D1002"/>
    <mergeCell ref="B1003:D1003"/>
    <mergeCell ref="A982:A993"/>
    <mergeCell ref="B982:D982"/>
    <mergeCell ref="B983:D983"/>
    <mergeCell ref="B984:D984"/>
    <mergeCell ref="B985:D985"/>
    <mergeCell ref="B986:D986"/>
    <mergeCell ref="B987:D987"/>
    <mergeCell ref="B988:D988"/>
    <mergeCell ref="B989:D989"/>
    <mergeCell ref="B990:D990"/>
    <mergeCell ref="B991:D991"/>
    <mergeCell ref="B992:D992"/>
    <mergeCell ref="B993:D993"/>
    <mergeCell ref="A1023:A1027"/>
    <mergeCell ref="B1023:D1023"/>
    <mergeCell ref="B1024:D1024"/>
    <mergeCell ref="B1025:D1025"/>
    <mergeCell ref="B1026:D1026"/>
    <mergeCell ref="B1027:D1027"/>
    <mergeCell ref="A1028:A1029"/>
    <mergeCell ref="B1028:D1028"/>
    <mergeCell ref="B1029:D1029"/>
    <mergeCell ref="A1008:F1008"/>
    <mergeCell ref="B1015:D1015"/>
    <mergeCell ref="A1016:F1016"/>
    <mergeCell ref="A1017:A1022"/>
    <mergeCell ref="B1017:D1017"/>
    <mergeCell ref="B1018:D1018"/>
    <mergeCell ref="B1019:D1019"/>
    <mergeCell ref="B1020:D1020"/>
    <mergeCell ref="B1021:D1021"/>
    <mergeCell ref="B1022:D1022"/>
    <mergeCell ref="A1037:F1037"/>
    <mergeCell ref="A1038:A1045"/>
    <mergeCell ref="B1038:D1038"/>
    <mergeCell ref="B1039:D1039"/>
    <mergeCell ref="B1040:D1040"/>
    <mergeCell ref="B1041:D1041"/>
    <mergeCell ref="B1042:D1042"/>
    <mergeCell ref="B1043:D1043"/>
    <mergeCell ref="B1044:D1044"/>
    <mergeCell ref="B1045:D1045"/>
    <mergeCell ref="A1030:A1031"/>
    <mergeCell ref="B1030:D1030"/>
    <mergeCell ref="B1031:D1031"/>
    <mergeCell ref="A1032:A1035"/>
    <mergeCell ref="B1032:D1032"/>
    <mergeCell ref="B1033:D1033"/>
    <mergeCell ref="B1034:D1034"/>
    <mergeCell ref="B1035:D1035"/>
    <mergeCell ref="B1036:D1036"/>
    <mergeCell ref="B1058:D1058"/>
    <mergeCell ref="A1059:A1064"/>
    <mergeCell ref="B1059:D1059"/>
    <mergeCell ref="B1060:D1060"/>
    <mergeCell ref="B1061:D1061"/>
    <mergeCell ref="B1062:D1062"/>
    <mergeCell ref="B1063:D1063"/>
    <mergeCell ref="B1064:D1064"/>
    <mergeCell ref="A1065:A1066"/>
    <mergeCell ref="B1065:D1065"/>
    <mergeCell ref="B1066:D1066"/>
    <mergeCell ref="A1046:A1052"/>
    <mergeCell ref="B1046:D1046"/>
    <mergeCell ref="B1047:D1047"/>
    <mergeCell ref="B1048:D1048"/>
    <mergeCell ref="B1049:D1049"/>
    <mergeCell ref="B1050:D1050"/>
    <mergeCell ref="B1051:D1051"/>
    <mergeCell ref="B1052:D1052"/>
    <mergeCell ref="A1053:A1057"/>
    <mergeCell ref="B1053:D1053"/>
    <mergeCell ref="B1054:D1054"/>
    <mergeCell ref="B1055:D1055"/>
    <mergeCell ref="B1056:D1056"/>
    <mergeCell ref="B1057:D1057"/>
    <mergeCell ref="A1075:F1075"/>
    <mergeCell ref="A1076:A1082"/>
    <mergeCell ref="B1076:D1076"/>
    <mergeCell ref="B1077:D1077"/>
    <mergeCell ref="B1078:D1078"/>
    <mergeCell ref="B1079:D1079"/>
    <mergeCell ref="B1080:D1080"/>
    <mergeCell ref="B1081:D1081"/>
    <mergeCell ref="B1082:D1082"/>
    <mergeCell ref="A1067:F1067"/>
    <mergeCell ref="A1068:A1071"/>
    <mergeCell ref="B1068:D1068"/>
    <mergeCell ref="B1069:D1069"/>
    <mergeCell ref="B1070:D1070"/>
    <mergeCell ref="B1071:D1071"/>
    <mergeCell ref="A1072:A1074"/>
    <mergeCell ref="B1072:D1072"/>
    <mergeCell ref="B1073:D1073"/>
    <mergeCell ref="B1074:D1074"/>
    <mergeCell ref="B1095:D1095"/>
    <mergeCell ref="A1096:A1098"/>
    <mergeCell ref="B1096:D1096"/>
    <mergeCell ref="B1097:D1097"/>
    <mergeCell ref="B1098:D1098"/>
    <mergeCell ref="A1099:A1104"/>
    <mergeCell ref="B1099:D1099"/>
    <mergeCell ref="B1100:D1100"/>
    <mergeCell ref="B1101:D1101"/>
    <mergeCell ref="B1102:D1102"/>
    <mergeCell ref="B1103:D1103"/>
    <mergeCell ref="B1104:D1104"/>
    <mergeCell ref="A1083:A1094"/>
    <mergeCell ref="B1083:D1083"/>
    <mergeCell ref="B1084:D1084"/>
    <mergeCell ref="B1085:D1085"/>
    <mergeCell ref="B1086:D1086"/>
    <mergeCell ref="B1087:D1087"/>
    <mergeCell ref="B1088:D1088"/>
    <mergeCell ref="B1089:D1089"/>
    <mergeCell ref="B1090:D1090"/>
    <mergeCell ref="B1091:D1091"/>
    <mergeCell ref="B1092:D1092"/>
    <mergeCell ref="B1093:D1093"/>
    <mergeCell ref="B1094:D1094"/>
    <mergeCell ref="A1123:A1127"/>
    <mergeCell ref="B1123:D1123"/>
    <mergeCell ref="B1124:D1124"/>
    <mergeCell ref="B1125:D1125"/>
    <mergeCell ref="B1126:D1126"/>
    <mergeCell ref="B1127:D1127"/>
    <mergeCell ref="A1128:A1129"/>
    <mergeCell ref="B1128:D1128"/>
    <mergeCell ref="B1129:D1129"/>
    <mergeCell ref="A1108:F1108"/>
    <mergeCell ref="B1115:D1115"/>
    <mergeCell ref="A1116:F1116"/>
    <mergeCell ref="A1117:A1122"/>
    <mergeCell ref="B1117:D1117"/>
    <mergeCell ref="B1118:D1118"/>
    <mergeCell ref="B1119:D1119"/>
    <mergeCell ref="B1120:D1120"/>
    <mergeCell ref="B1121:D1121"/>
    <mergeCell ref="B1122:D1122"/>
    <mergeCell ref="A1137:F1137"/>
    <mergeCell ref="A1138:A1145"/>
    <mergeCell ref="B1138:D1138"/>
    <mergeCell ref="B1139:D1139"/>
    <mergeCell ref="B1140:D1140"/>
    <mergeCell ref="B1141:D1141"/>
    <mergeCell ref="B1142:D1142"/>
    <mergeCell ref="B1143:D1143"/>
    <mergeCell ref="B1144:D1144"/>
    <mergeCell ref="B1145:D1145"/>
    <mergeCell ref="A1130:A1131"/>
    <mergeCell ref="B1130:D1130"/>
    <mergeCell ref="B1131:D1131"/>
    <mergeCell ref="A1132:A1135"/>
    <mergeCell ref="B1132:D1132"/>
    <mergeCell ref="B1133:D1133"/>
    <mergeCell ref="B1134:D1134"/>
    <mergeCell ref="B1135:D1135"/>
    <mergeCell ref="B1136:D1136"/>
    <mergeCell ref="B1158:D1158"/>
    <mergeCell ref="A1159:A1164"/>
    <mergeCell ref="B1159:D1159"/>
    <mergeCell ref="B1160:D1160"/>
    <mergeCell ref="B1161:D1161"/>
    <mergeCell ref="B1162:D1162"/>
    <mergeCell ref="B1163:D1163"/>
    <mergeCell ref="B1164:D1164"/>
    <mergeCell ref="A1165:A1166"/>
    <mergeCell ref="B1165:D1165"/>
    <mergeCell ref="B1166:D1166"/>
    <mergeCell ref="A1146:A1152"/>
    <mergeCell ref="B1146:D1146"/>
    <mergeCell ref="B1147:D1147"/>
    <mergeCell ref="B1148:D1148"/>
    <mergeCell ref="B1149:D1149"/>
    <mergeCell ref="B1150:D1150"/>
    <mergeCell ref="B1151:D1151"/>
    <mergeCell ref="B1152:D1152"/>
    <mergeCell ref="A1153:A1157"/>
    <mergeCell ref="B1153:D1153"/>
    <mergeCell ref="B1154:D1154"/>
    <mergeCell ref="B1155:D1155"/>
    <mergeCell ref="B1156:D1156"/>
    <mergeCell ref="B1157:D1157"/>
    <mergeCell ref="A1175:F1175"/>
    <mergeCell ref="A1176:A1182"/>
    <mergeCell ref="B1176:D1176"/>
    <mergeCell ref="B1177:D1177"/>
    <mergeCell ref="B1178:D1178"/>
    <mergeCell ref="B1179:D1179"/>
    <mergeCell ref="B1180:D1180"/>
    <mergeCell ref="B1181:D1181"/>
    <mergeCell ref="B1182:D1182"/>
    <mergeCell ref="A1167:F1167"/>
    <mergeCell ref="A1168:A1171"/>
    <mergeCell ref="B1168:D1168"/>
    <mergeCell ref="B1169:D1169"/>
    <mergeCell ref="B1170:D1170"/>
    <mergeCell ref="B1171:D1171"/>
    <mergeCell ref="A1172:A1174"/>
    <mergeCell ref="B1172:D1172"/>
    <mergeCell ref="B1173:D1173"/>
    <mergeCell ref="B1174:D1174"/>
    <mergeCell ref="B1195:D1195"/>
    <mergeCell ref="A1196:A1198"/>
    <mergeCell ref="B1196:D1196"/>
    <mergeCell ref="B1197:D1197"/>
    <mergeCell ref="B1198:D1198"/>
    <mergeCell ref="A1199:A1204"/>
    <mergeCell ref="B1199:D1199"/>
    <mergeCell ref="B1200:D1200"/>
    <mergeCell ref="B1201:D1201"/>
    <mergeCell ref="B1202:D1202"/>
    <mergeCell ref="B1203:D1203"/>
    <mergeCell ref="B1204:D1204"/>
    <mergeCell ref="A1183:A1194"/>
    <mergeCell ref="B1183:D1183"/>
    <mergeCell ref="B1184:D1184"/>
    <mergeCell ref="B1185:D1185"/>
    <mergeCell ref="B1186:D1186"/>
    <mergeCell ref="B1187:D1187"/>
    <mergeCell ref="B1188:D1188"/>
    <mergeCell ref="B1189:D1189"/>
    <mergeCell ref="B1190:D1190"/>
    <mergeCell ref="B1191:D1191"/>
    <mergeCell ref="B1192:D1192"/>
    <mergeCell ref="B1193:D1193"/>
    <mergeCell ref="B1194:D1194"/>
  </mergeCells>
  <pageMargins left="1.38" right="0.89" top="1.08" bottom="0.36" header="0.3" footer="0.23"/>
  <pageSetup paperSize="9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4"/>
  <sheetViews>
    <sheetView topLeftCell="A25" workbookViewId="0">
      <selection activeCell="F43" sqref="F43"/>
    </sheetView>
  </sheetViews>
  <sheetFormatPr defaultRowHeight="14.4"/>
  <cols>
    <col min="1" max="1" width="17" style="9" customWidth="1"/>
    <col min="2" max="2" width="9.6640625" style="10" customWidth="1"/>
    <col min="3" max="3" width="24.5546875" customWidth="1"/>
    <col min="4" max="4" width="19.109375" style="3" customWidth="1"/>
    <col min="5" max="5" width="9.33203125" style="3" customWidth="1"/>
    <col min="6" max="6" width="15.5546875" style="3" customWidth="1"/>
    <col min="7" max="7" width="5" style="18" customWidth="1"/>
    <col min="8" max="9" width="4.5546875" style="18" customWidth="1"/>
    <col min="10" max="11" width="5.109375" style="18" customWidth="1"/>
    <col min="12" max="12" width="11" style="59" bestFit="1" customWidth="1"/>
    <col min="13" max="13" width="22.6640625" bestFit="1" customWidth="1"/>
  </cols>
  <sheetData>
    <row r="1" spans="1:15">
      <c r="A1" s="19" t="s">
        <v>194</v>
      </c>
      <c r="B1" s="6"/>
      <c r="C1" s="16"/>
      <c r="D1" s="16" t="s">
        <v>146</v>
      </c>
      <c r="E1" s="16"/>
      <c r="F1" s="16"/>
      <c r="G1" s="16"/>
      <c r="H1" s="16"/>
      <c r="I1" s="16"/>
      <c r="J1" s="16"/>
      <c r="K1" s="16"/>
      <c r="L1" s="63"/>
      <c r="M1" s="51"/>
    </row>
    <row r="2" spans="1:15">
      <c r="A2" s="1"/>
      <c r="B2" s="6"/>
      <c r="C2" s="2"/>
      <c r="D2" s="2" t="s">
        <v>0</v>
      </c>
      <c r="E2" s="19">
        <f>B3*211*90</f>
        <v>6494580</v>
      </c>
      <c r="F2" s="2"/>
      <c r="G2" s="204"/>
      <c r="H2" s="204"/>
      <c r="I2" s="204"/>
      <c r="J2" s="56"/>
      <c r="K2" s="56"/>
      <c r="L2" s="63"/>
      <c r="M2" s="51"/>
    </row>
    <row r="3" spans="1:15">
      <c r="A3" s="19" t="s">
        <v>1</v>
      </c>
      <c r="B3" s="6">
        <v>342</v>
      </c>
      <c r="C3" s="2"/>
      <c r="D3" s="2" t="s">
        <v>2</v>
      </c>
      <c r="E3" s="19">
        <f>E2*2/3</f>
        <v>4329720</v>
      </c>
      <c r="F3" s="2"/>
      <c r="G3" s="205"/>
      <c r="H3" s="205"/>
      <c r="I3" s="205"/>
      <c r="J3" s="57"/>
      <c r="K3" s="57"/>
      <c r="L3" s="63"/>
      <c r="M3" s="51"/>
    </row>
    <row r="4" spans="1:15">
      <c r="A4" s="7"/>
      <c r="B4" s="5"/>
      <c r="C4" s="2"/>
      <c r="D4" s="2" t="s">
        <v>3</v>
      </c>
      <c r="E4" s="19">
        <f>SUM(E2:E3)</f>
        <v>10824300</v>
      </c>
      <c r="F4" s="2"/>
      <c r="G4" s="205"/>
      <c r="H4" s="205"/>
      <c r="I4" s="205"/>
      <c r="J4" s="57"/>
      <c r="K4" s="57"/>
      <c r="L4" s="63"/>
      <c r="M4" s="51"/>
    </row>
    <row r="5" spans="1:15">
      <c r="A5" s="7"/>
      <c r="B5" s="5"/>
      <c r="C5" s="2"/>
      <c r="D5" s="2" t="s">
        <v>4</v>
      </c>
      <c r="E5" s="19">
        <f>E4*0.06</f>
        <v>649458</v>
      </c>
      <c r="F5" s="2"/>
      <c r="G5" s="205"/>
      <c r="H5" s="205"/>
      <c r="I5" s="205"/>
      <c r="J5" s="57"/>
      <c r="K5" s="57"/>
      <c r="L5" s="63"/>
      <c r="M5" s="51"/>
    </row>
    <row r="6" spans="1:15">
      <c r="A6" s="7"/>
      <c r="B6" s="5"/>
      <c r="C6" s="2"/>
      <c r="D6" s="2" t="s">
        <v>5</v>
      </c>
      <c r="E6" s="19">
        <f>E5+E4</f>
        <v>11473758</v>
      </c>
      <c r="F6" s="2"/>
      <c r="G6" s="206"/>
      <c r="H6" s="206"/>
      <c r="I6" s="206"/>
      <c r="J6" s="58"/>
      <c r="K6" s="102"/>
      <c r="L6" s="63"/>
      <c r="M6" s="51"/>
    </row>
    <row r="7" spans="1:15" ht="21" customHeight="1">
      <c r="A7" s="187" t="s">
        <v>18</v>
      </c>
      <c r="B7" s="186" t="s">
        <v>14</v>
      </c>
      <c r="C7" s="184" t="s">
        <v>147</v>
      </c>
      <c r="D7" s="193" t="s">
        <v>7</v>
      </c>
      <c r="E7" s="194"/>
      <c r="F7" s="184"/>
      <c r="G7" s="186" t="s">
        <v>153</v>
      </c>
      <c r="H7" s="186"/>
      <c r="I7" s="186"/>
      <c r="J7" s="186"/>
      <c r="K7" s="186"/>
      <c r="L7" s="202" t="s">
        <v>144</v>
      </c>
      <c r="M7" s="200" t="s">
        <v>117</v>
      </c>
    </row>
    <row r="8" spans="1:15" ht="27" customHeight="1">
      <c r="A8" s="187"/>
      <c r="B8" s="186"/>
      <c r="C8" s="185"/>
      <c r="D8" s="195"/>
      <c r="E8" s="196"/>
      <c r="F8" s="185"/>
      <c r="G8" s="103" t="s">
        <v>148</v>
      </c>
      <c r="H8" s="103" t="s">
        <v>149</v>
      </c>
      <c r="I8" s="103" t="s">
        <v>150</v>
      </c>
      <c r="J8" s="103" t="s">
        <v>151</v>
      </c>
      <c r="K8" s="103" t="s">
        <v>152</v>
      </c>
      <c r="L8" s="203"/>
      <c r="M8" s="201"/>
    </row>
    <row r="9" spans="1:15" ht="16.5" customHeight="1">
      <c r="A9" s="189" t="s">
        <v>40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60"/>
    </row>
    <row r="10" spans="1:15" s="78" customFormat="1" ht="28.8">
      <c r="A10" s="71" t="s">
        <v>25</v>
      </c>
      <c r="B10" s="50">
        <v>2000</v>
      </c>
      <c r="C10" s="15" t="s">
        <v>11</v>
      </c>
      <c r="D10" s="228" t="s">
        <v>312</v>
      </c>
      <c r="E10" s="229"/>
      <c r="F10" s="230"/>
      <c r="G10" s="80">
        <v>10</v>
      </c>
      <c r="H10" s="21">
        <v>10</v>
      </c>
      <c r="I10" s="21">
        <v>4</v>
      </c>
      <c r="J10" s="93">
        <f>I10*H10*G10</f>
        <v>400</v>
      </c>
      <c r="K10" s="93" t="s">
        <v>258</v>
      </c>
      <c r="L10" s="138">
        <f>((B10*211)+(B10*211*2/3))/100000</f>
        <v>7.0333333333333323</v>
      </c>
      <c r="M10" s="94" t="s">
        <v>445</v>
      </c>
    </row>
    <row r="11" spans="1:15" ht="15.6">
      <c r="A11" s="81" t="s">
        <v>26</v>
      </c>
      <c r="B11" s="50">
        <v>500</v>
      </c>
      <c r="C11" s="24" t="s">
        <v>30</v>
      </c>
      <c r="D11" s="69" t="s">
        <v>197</v>
      </c>
      <c r="E11" s="29">
        <v>150</v>
      </c>
      <c r="F11" s="69" t="s">
        <v>183</v>
      </c>
      <c r="G11" s="29">
        <v>15</v>
      </c>
      <c r="H11" s="21">
        <v>2</v>
      </c>
      <c r="I11" s="21">
        <v>2</v>
      </c>
      <c r="J11" s="50">
        <f>I11*H11*G11</f>
        <v>60</v>
      </c>
      <c r="K11" s="93" t="s">
        <v>258</v>
      </c>
      <c r="L11" s="138">
        <f t="shared" ref="L11:L25" si="0">((B11*211)+(B11*211*2/3))/100000</f>
        <v>1.7583333333333331</v>
      </c>
      <c r="M11" s="95" t="s">
        <v>447</v>
      </c>
    </row>
    <row r="12" spans="1:15" ht="15.6">
      <c r="A12" s="71" t="s">
        <v>13</v>
      </c>
      <c r="B12" s="154">
        <v>500</v>
      </c>
      <c r="C12" s="159" t="s">
        <v>35</v>
      </c>
      <c r="D12" s="214" t="s">
        <v>446</v>
      </c>
      <c r="E12" s="215"/>
      <c r="F12" s="216"/>
      <c r="G12" s="217">
        <v>5</v>
      </c>
      <c r="H12" s="218"/>
      <c r="I12" s="218"/>
      <c r="J12" s="219"/>
      <c r="K12" s="154" t="s">
        <v>468</v>
      </c>
      <c r="L12" s="138">
        <f t="shared" si="0"/>
        <v>1.7583333333333331</v>
      </c>
      <c r="M12" s="94" t="s">
        <v>448</v>
      </c>
    </row>
    <row r="13" spans="1:15" s="165" customFormat="1" ht="15" customHeight="1">
      <c r="A13" s="225" t="s">
        <v>8</v>
      </c>
      <c r="B13" s="160">
        <v>1000</v>
      </c>
      <c r="C13" s="155" t="s">
        <v>38</v>
      </c>
      <c r="D13" s="157" t="s">
        <v>216</v>
      </c>
      <c r="E13" s="158">
        <v>55</v>
      </c>
      <c r="F13" s="157" t="s">
        <v>223</v>
      </c>
      <c r="G13" s="159">
        <v>1000</v>
      </c>
      <c r="H13" s="156">
        <v>1.5</v>
      </c>
      <c r="I13" s="156">
        <v>1</v>
      </c>
      <c r="J13" s="154">
        <f t="shared" ref="J13:J20" si="1">I13*H13*G13</f>
        <v>1500</v>
      </c>
      <c r="K13" s="154" t="s">
        <v>258</v>
      </c>
      <c r="L13" s="166">
        <f t="shared" si="0"/>
        <v>3.5166666666666662</v>
      </c>
      <c r="M13" s="167" t="s">
        <v>449</v>
      </c>
      <c r="N13" s="165">
        <v>1</v>
      </c>
      <c r="O13" s="165">
        <f>1500*194</f>
        <v>291000</v>
      </c>
    </row>
    <row r="14" spans="1:15" s="165" customFormat="1" ht="15" customHeight="1">
      <c r="A14" s="226"/>
      <c r="B14" s="160">
        <v>1000</v>
      </c>
      <c r="C14" s="155" t="s">
        <v>38</v>
      </c>
      <c r="D14" s="157" t="s">
        <v>162</v>
      </c>
      <c r="E14" s="158">
        <v>255</v>
      </c>
      <c r="F14" s="157" t="s">
        <v>223</v>
      </c>
      <c r="G14" s="159">
        <v>1000</v>
      </c>
      <c r="H14" s="156">
        <v>1.5</v>
      </c>
      <c r="I14" s="156">
        <v>1</v>
      </c>
      <c r="J14" s="154">
        <f t="shared" si="1"/>
        <v>1500</v>
      </c>
      <c r="K14" s="154" t="s">
        <v>258</v>
      </c>
      <c r="L14" s="166">
        <f t="shared" si="0"/>
        <v>3.5166666666666662</v>
      </c>
      <c r="M14" s="168"/>
      <c r="N14" s="165">
        <v>2</v>
      </c>
    </row>
    <row r="15" spans="1:15" s="165" customFormat="1" ht="15" customHeight="1">
      <c r="A15" s="226"/>
      <c r="B15" s="160">
        <v>1000</v>
      </c>
      <c r="C15" s="155" t="s">
        <v>38</v>
      </c>
      <c r="D15" s="157" t="s">
        <v>217</v>
      </c>
      <c r="E15" s="158">
        <v>179</v>
      </c>
      <c r="F15" s="157" t="s">
        <v>223</v>
      </c>
      <c r="G15" s="159">
        <v>1000</v>
      </c>
      <c r="H15" s="156">
        <v>1.5</v>
      </c>
      <c r="I15" s="156">
        <v>1</v>
      </c>
      <c r="J15" s="154">
        <f t="shared" si="1"/>
        <v>1500</v>
      </c>
      <c r="K15" s="154" t="s">
        <v>258</v>
      </c>
      <c r="L15" s="166">
        <f t="shared" si="0"/>
        <v>3.5166666666666662</v>
      </c>
      <c r="M15" s="168"/>
      <c r="N15" s="165">
        <v>3</v>
      </c>
    </row>
    <row r="16" spans="1:15" s="165" customFormat="1" ht="15" customHeight="1">
      <c r="A16" s="226"/>
      <c r="B16" s="160">
        <v>1200</v>
      </c>
      <c r="C16" s="155" t="s">
        <v>38</v>
      </c>
      <c r="D16" s="157" t="s">
        <v>218</v>
      </c>
      <c r="E16" s="158">
        <v>268</v>
      </c>
      <c r="F16" s="157" t="s">
        <v>224</v>
      </c>
      <c r="G16" s="159">
        <v>1000</v>
      </c>
      <c r="H16" s="156">
        <v>1.5</v>
      </c>
      <c r="I16" s="156">
        <v>1</v>
      </c>
      <c r="J16" s="154">
        <f t="shared" si="1"/>
        <v>1500</v>
      </c>
      <c r="K16" s="154" t="s">
        <v>258</v>
      </c>
      <c r="L16" s="166">
        <f t="shared" si="0"/>
        <v>4.22</v>
      </c>
      <c r="M16" s="168"/>
      <c r="N16" s="165">
        <v>4</v>
      </c>
    </row>
    <row r="17" spans="1:15" s="165" customFormat="1" ht="15" customHeight="1">
      <c r="A17" s="226"/>
      <c r="B17" s="160">
        <v>1200</v>
      </c>
      <c r="C17" s="155" t="s">
        <v>38</v>
      </c>
      <c r="D17" s="157" t="s">
        <v>219</v>
      </c>
      <c r="E17" s="158">
        <v>134</v>
      </c>
      <c r="F17" s="157" t="s">
        <v>224</v>
      </c>
      <c r="G17" s="159">
        <v>1000</v>
      </c>
      <c r="H17" s="156">
        <v>1.5</v>
      </c>
      <c r="I17" s="156">
        <v>1</v>
      </c>
      <c r="J17" s="154">
        <f t="shared" si="1"/>
        <v>1500</v>
      </c>
      <c r="K17" s="154" t="s">
        <v>258</v>
      </c>
      <c r="L17" s="166">
        <f t="shared" si="0"/>
        <v>4.22</v>
      </c>
      <c r="M17" s="168"/>
      <c r="N17" s="165">
        <v>5</v>
      </c>
    </row>
    <row r="18" spans="1:15" s="165" customFormat="1" ht="15" customHeight="1">
      <c r="A18" s="226"/>
      <c r="B18" s="160">
        <v>1200</v>
      </c>
      <c r="C18" s="155" t="s">
        <v>38</v>
      </c>
      <c r="D18" s="157" t="s">
        <v>220</v>
      </c>
      <c r="E18" s="158">
        <v>190</v>
      </c>
      <c r="F18" s="157" t="s">
        <v>225</v>
      </c>
      <c r="G18" s="159">
        <v>1000</v>
      </c>
      <c r="H18" s="156">
        <v>1.5</v>
      </c>
      <c r="I18" s="156">
        <v>1</v>
      </c>
      <c r="J18" s="154">
        <f t="shared" si="1"/>
        <v>1500</v>
      </c>
      <c r="K18" s="154" t="s">
        <v>258</v>
      </c>
      <c r="L18" s="166">
        <f t="shared" si="0"/>
        <v>4.22</v>
      </c>
      <c r="M18" s="168"/>
      <c r="N18" s="165">
        <v>6</v>
      </c>
    </row>
    <row r="19" spans="1:15" s="165" customFormat="1" ht="15" customHeight="1">
      <c r="A19" s="226"/>
      <c r="B19" s="160">
        <v>1200</v>
      </c>
      <c r="C19" s="155" t="s">
        <v>38</v>
      </c>
      <c r="D19" s="157" t="s">
        <v>221</v>
      </c>
      <c r="E19" s="158">
        <v>139</v>
      </c>
      <c r="F19" s="157" t="s">
        <v>225</v>
      </c>
      <c r="G19" s="159">
        <v>1000</v>
      </c>
      <c r="H19" s="156">
        <v>1.5</v>
      </c>
      <c r="I19" s="156">
        <v>1</v>
      </c>
      <c r="J19" s="154">
        <f t="shared" si="1"/>
        <v>1500</v>
      </c>
      <c r="K19" s="154" t="s">
        <v>258</v>
      </c>
      <c r="L19" s="166">
        <f t="shared" si="0"/>
        <v>4.22</v>
      </c>
      <c r="M19" s="168"/>
      <c r="N19" s="165">
        <v>7</v>
      </c>
    </row>
    <row r="20" spans="1:15" s="165" customFormat="1" ht="15" customHeight="1">
      <c r="A20" s="226"/>
      <c r="B20" s="160">
        <v>1200</v>
      </c>
      <c r="C20" s="155" t="s">
        <v>38</v>
      </c>
      <c r="D20" s="157" t="s">
        <v>197</v>
      </c>
      <c r="E20" s="158">
        <v>151</v>
      </c>
      <c r="F20" s="157" t="s">
        <v>183</v>
      </c>
      <c r="G20" s="159">
        <v>1000</v>
      </c>
      <c r="H20" s="156">
        <v>1.5</v>
      </c>
      <c r="I20" s="156">
        <v>1</v>
      </c>
      <c r="J20" s="154">
        <f t="shared" si="1"/>
        <v>1500</v>
      </c>
      <c r="K20" s="154" t="s">
        <v>258</v>
      </c>
      <c r="L20" s="166">
        <f t="shared" si="0"/>
        <v>4.22</v>
      </c>
      <c r="M20" s="168"/>
      <c r="N20" s="165">
        <v>8</v>
      </c>
    </row>
    <row r="21" spans="1:15" s="165" customFormat="1" ht="15" customHeight="1">
      <c r="A21" s="226"/>
      <c r="B21" s="160">
        <v>1200</v>
      </c>
      <c r="C21" s="161" t="s">
        <v>226</v>
      </c>
      <c r="D21" s="157" t="s">
        <v>203</v>
      </c>
      <c r="E21" s="158">
        <v>66</v>
      </c>
      <c r="F21" s="157" t="s">
        <v>213</v>
      </c>
      <c r="G21" s="159"/>
      <c r="H21" s="156"/>
      <c r="I21" s="158" t="s">
        <v>233</v>
      </c>
      <c r="J21" s="156"/>
      <c r="K21" s="156"/>
      <c r="L21" s="166">
        <f t="shared" si="0"/>
        <v>4.22</v>
      </c>
      <c r="M21" s="168"/>
      <c r="N21" s="165">
        <v>9</v>
      </c>
    </row>
    <row r="22" spans="1:15" s="165" customFormat="1" ht="15" customHeight="1">
      <c r="A22" s="226"/>
      <c r="B22" s="160">
        <v>1200</v>
      </c>
      <c r="C22" s="161" t="s">
        <v>226</v>
      </c>
      <c r="D22" s="157" t="s">
        <v>200</v>
      </c>
      <c r="E22" s="158">
        <v>203</v>
      </c>
      <c r="F22" s="157" t="s">
        <v>210</v>
      </c>
      <c r="G22" s="159"/>
      <c r="H22" s="156"/>
      <c r="I22" s="158" t="s">
        <v>234</v>
      </c>
      <c r="J22" s="156"/>
      <c r="K22" s="156"/>
      <c r="L22" s="166">
        <f t="shared" si="0"/>
        <v>4.22</v>
      </c>
      <c r="M22" s="168"/>
      <c r="N22" s="165">
        <v>10</v>
      </c>
    </row>
    <row r="23" spans="1:15" s="165" customFormat="1" ht="15" customHeight="1">
      <c r="A23" s="226"/>
      <c r="B23" s="160">
        <v>1200</v>
      </c>
      <c r="C23" s="161" t="s">
        <v>226</v>
      </c>
      <c r="D23" s="157" t="s">
        <v>206</v>
      </c>
      <c r="E23" s="158">
        <v>80</v>
      </c>
      <c r="F23" s="157" t="s">
        <v>222</v>
      </c>
      <c r="G23" s="159"/>
      <c r="H23" s="156"/>
      <c r="I23" s="158" t="s">
        <v>235</v>
      </c>
      <c r="J23" s="156"/>
      <c r="K23" s="156"/>
      <c r="L23" s="166">
        <f t="shared" si="0"/>
        <v>4.22</v>
      </c>
      <c r="M23" s="168"/>
      <c r="N23" s="165">
        <v>11</v>
      </c>
    </row>
    <row r="24" spans="1:15" s="165" customFormat="1" ht="15" customHeight="1">
      <c r="A24" s="226"/>
      <c r="B24" s="160">
        <v>1200</v>
      </c>
      <c r="C24" s="161" t="s">
        <v>226</v>
      </c>
      <c r="D24" s="157" t="s">
        <v>217</v>
      </c>
      <c r="E24" s="158">
        <v>179</v>
      </c>
      <c r="F24" s="157" t="s">
        <v>223</v>
      </c>
      <c r="G24" s="159"/>
      <c r="H24" s="156"/>
      <c r="I24" s="158" t="s">
        <v>235</v>
      </c>
      <c r="J24" s="156"/>
      <c r="K24" s="156"/>
      <c r="L24" s="166">
        <f t="shared" si="0"/>
        <v>4.22</v>
      </c>
      <c r="M24" s="168"/>
      <c r="N24" s="165">
        <v>12</v>
      </c>
    </row>
    <row r="25" spans="1:15" s="165" customFormat="1" ht="15" customHeight="1">
      <c r="A25" s="227"/>
      <c r="B25" s="160">
        <v>1200</v>
      </c>
      <c r="C25" s="161" t="s">
        <v>226</v>
      </c>
      <c r="D25" s="157" t="s">
        <v>195</v>
      </c>
      <c r="E25" s="158">
        <v>45</v>
      </c>
      <c r="F25" s="157" t="s">
        <v>207</v>
      </c>
      <c r="G25" s="159"/>
      <c r="H25" s="156"/>
      <c r="I25" s="158" t="s">
        <v>234</v>
      </c>
      <c r="J25" s="156"/>
      <c r="K25" s="156"/>
      <c r="L25" s="166">
        <f t="shared" si="0"/>
        <v>4.22</v>
      </c>
      <c r="M25" s="169"/>
      <c r="N25" s="165">
        <v>13</v>
      </c>
    </row>
    <row r="26" spans="1:15" s="165" customFormat="1" ht="14.4" customHeight="1">
      <c r="A26" s="213" t="s">
        <v>39</v>
      </c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170"/>
    </row>
    <row r="27" spans="1:15" s="165" customFormat="1" ht="28.95" customHeight="1">
      <c r="A27" s="211" t="s">
        <v>41</v>
      </c>
      <c r="B27" s="154">
        <v>500</v>
      </c>
      <c r="C27" s="162" t="s">
        <v>48</v>
      </c>
      <c r="D27" s="214" t="s">
        <v>313</v>
      </c>
      <c r="E27" s="220"/>
      <c r="F27" s="221"/>
      <c r="G27" s="231" t="s">
        <v>469</v>
      </c>
      <c r="H27" s="218"/>
      <c r="I27" s="218"/>
      <c r="J27" s="218"/>
      <c r="K27" s="219"/>
      <c r="L27" s="166">
        <f>((B27*211)+(B27*211*2/3))/100000</f>
        <v>1.7583333333333331</v>
      </c>
      <c r="M27" s="171" t="s">
        <v>450</v>
      </c>
    </row>
    <row r="28" spans="1:15" s="165" customFormat="1" ht="15.6">
      <c r="A28" s="211"/>
      <c r="B28" s="154">
        <v>100</v>
      </c>
      <c r="C28" s="159" t="s">
        <v>12</v>
      </c>
      <c r="D28" s="157" t="s">
        <v>231</v>
      </c>
      <c r="E28" s="158">
        <v>73</v>
      </c>
      <c r="F28" s="157" t="s">
        <v>213</v>
      </c>
      <c r="G28" s="163">
        <v>3</v>
      </c>
      <c r="H28" s="156">
        <v>3</v>
      </c>
      <c r="I28" s="156">
        <v>2</v>
      </c>
      <c r="J28" s="154">
        <f>I28*H28*G28</f>
        <v>18</v>
      </c>
      <c r="K28" s="154" t="s">
        <v>258</v>
      </c>
      <c r="L28" s="166">
        <f>((B28*211)+(B28*211*2/3))/100000</f>
        <v>0.35166666666666663</v>
      </c>
      <c r="M28" s="172" t="s">
        <v>451</v>
      </c>
    </row>
    <row r="29" spans="1:15" s="165" customFormat="1" ht="14.4" customHeight="1">
      <c r="A29" s="211" t="s">
        <v>42</v>
      </c>
      <c r="B29" s="154">
        <v>125</v>
      </c>
      <c r="C29" s="161" t="s">
        <v>232</v>
      </c>
      <c r="D29" s="157" t="s">
        <v>227</v>
      </c>
      <c r="E29" s="158">
        <v>82</v>
      </c>
      <c r="F29" s="157" t="s">
        <v>215</v>
      </c>
      <c r="G29" s="217">
        <v>1000</v>
      </c>
      <c r="H29" s="218"/>
      <c r="I29" s="218"/>
      <c r="J29" s="219"/>
      <c r="K29" s="154" t="s">
        <v>470</v>
      </c>
      <c r="L29" s="166">
        <f t="shared" ref="L29:L45" si="2">((B29*211)+(B29*211*2/3))/100000</f>
        <v>0.43958333333333327</v>
      </c>
      <c r="M29" s="173" t="s">
        <v>452</v>
      </c>
      <c r="O29" s="165">
        <f>500/4</f>
        <v>125</v>
      </c>
    </row>
    <row r="30" spans="1:15" s="165" customFormat="1">
      <c r="A30" s="211"/>
      <c r="B30" s="154">
        <v>125</v>
      </c>
      <c r="C30" s="161" t="s">
        <v>232</v>
      </c>
      <c r="D30" s="157" t="s">
        <v>206</v>
      </c>
      <c r="E30" s="158">
        <v>80</v>
      </c>
      <c r="F30" s="157" t="s">
        <v>225</v>
      </c>
      <c r="G30" s="217">
        <v>1000</v>
      </c>
      <c r="H30" s="218"/>
      <c r="I30" s="218"/>
      <c r="J30" s="219"/>
      <c r="K30" s="154" t="s">
        <v>470</v>
      </c>
      <c r="L30" s="166">
        <f t="shared" si="2"/>
        <v>0.43958333333333327</v>
      </c>
      <c r="M30" s="174"/>
    </row>
    <row r="31" spans="1:15" s="165" customFormat="1">
      <c r="A31" s="211"/>
      <c r="B31" s="154">
        <v>125</v>
      </c>
      <c r="C31" s="161" t="s">
        <v>232</v>
      </c>
      <c r="D31" s="157" t="s">
        <v>228</v>
      </c>
      <c r="E31" s="158">
        <v>125</v>
      </c>
      <c r="F31" s="157" t="s">
        <v>229</v>
      </c>
      <c r="G31" s="217">
        <v>1000</v>
      </c>
      <c r="H31" s="218"/>
      <c r="I31" s="218"/>
      <c r="J31" s="219"/>
      <c r="K31" s="154" t="s">
        <v>470</v>
      </c>
      <c r="L31" s="166">
        <f t="shared" si="2"/>
        <v>0.43958333333333327</v>
      </c>
      <c r="M31" s="174"/>
    </row>
    <row r="32" spans="1:15" s="165" customFormat="1">
      <c r="A32" s="211"/>
      <c r="B32" s="154">
        <v>125</v>
      </c>
      <c r="C32" s="161" t="s">
        <v>232</v>
      </c>
      <c r="D32" s="157" t="s">
        <v>230</v>
      </c>
      <c r="E32" s="158">
        <v>170</v>
      </c>
      <c r="F32" s="157" t="s">
        <v>213</v>
      </c>
      <c r="G32" s="217">
        <v>1000</v>
      </c>
      <c r="H32" s="218"/>
      <c r="I32" s="218"/>
      <c r="J32" s="219"/>
      <c r="K32" s="154" t="s">
        <v>470</v>
      </c>
      <c r="L32" s="166">
        <f t="shared" si="2"/>
        <v>0.43958333333333327</v>
      </c>
      <c r="M32" s="175"/>
    </row>
    <row r="33" spans="1:13" s="176" customFormat="1" ht="28.8">
      <c r="A33" s="151" t="s">
        <v>45</v>
      </c>
      <c r="B33" s="154">
        <v>800</v>
      </c>
      <c r="C33" s="162" t="s">
        <v>67</v>
      </c>
      <c r="D33" s="214" t="s">
        <v>311</v>
      </c>
      <c r="E33" s="220"/>
      <c r="F33" s="221"/>
      <c r="G33" s="163">
        <v>3</v>
      </c>
      <c r="H33" s="156">
        <v>1.8</v>
      </c>
      <c r="I33" s="156">
        <v>2</v>
      </c>
      <c r="J33" s="154">
        <f t="shared" ref="J33:J45" si="3">I33*H33*G33</f>
        <v>10.8</v>
      </c>
      <c r="K33" s="154" t="s">
        <v>258</v>
      </c>
      <c r="L33" s="166">
        <f t="shared" si="2"/>
        <v>2.813333333333333</v>
      </c>
      <c r="M33" s="171" t="s">
        <v>453</v>
      </c>
    </row>
    <row r="34" spans="1:13" s="165" customFormat="1" ht="14.4" customHeight="1">
      <c r="A34" s="211" t="s">
        <v>46</v>
      </c>
      <c r="B34" s="160">
        <v>600</v>
      </c>
      <c r="C34" s="161" t="s">
        <v>154</v>
      </c>
      <c r="D34" s="157" t="s">
        <v>195</v>
      </c>
      <c r="E34" s="158">
        <v>45</v>
      </c>
      <c r="F34" s="157" t="s">
        <v>207</v>
      </c>
      <c r="G34" s="158">
        <v>12</v>
      </c>
      <c r="H34" s="156">
        <v>3</v>
      </c>
      <c r="I34" s="156">
        <v>1.5</v>
      </c>
      <c r="J34" s="154">
        <f t="shared" si="3"/>
        <v>54</v>
      </c>
      <c r="K34" s="154" t="s">
        <v>258</v>
      </c>
      <c r="L34" s="166">
        <f t="shared" si="2"/>
        <v>2.11</v>
      </c>
      <c r="M34" s="167" t="s">
        <v>454</v>
      </c>
    </row>
    <row r="35" spans="1:13" s="165" customFormat="1" ht="15" customHeight="1">
      <c r="A35" s="211"/>
      <c r="B35" s="160">
        <v>600</v>
      </c>
      <c r="C35" s="161" t="s">
        <v>154</v>
      </c>
      <c r="D35" s="157" t="s">
        <v>196</v>
      </c>
      <c r="E35" s="158">
        <v>86</v>
      </c>
      <c r="F35" s="157" t="s">
        <v>208</v>
      </c>
      <c r="G35" s="158">
        <v>15</v>
      </c>
      <c r="H35" s="156">
        <v>3</v>
      </c>
      <c r="I35" s="156">
        <v>1.5</v>
      </c>
      <c r="J35" s="154">
        <f t="shared" si="3"/>
        <v>67.5</v>
      </c>
      <c r="K35" s="154" t="s">
        <v>258</v>
      </c>
      <c r="L35" s="166">
        <f t="shared" si="2"/>
        <v>2.11</v>
      </c>
      <c r="M35" s="168"/>
    </row>
    <row r="36" spans="1:13" s="165" customFormat="1" ht="15" customHeight="1">
      <c r="A36" s="211"/>
      <c r="B36" s="160">
        <v>600</v>
      </c>
      <c r="C36" s="161" t="s">
        <v>154</v>
      </c>
      <c r="D36" s="157" t="s">
        <v>197</v>
      </c>
      <c r="E36" s="158">
        <v>151</v>
      </c>
      <c r="F36" s="157" t="s">
        <v>183</v>
      </c>
      <c r="G36" s="158">
        <v>21</v>
      </c>
      <c r="H36" s="156">
        <v>3</v>
      </c>
      <c r="I36" s="156">
        <v>1.5</v>
      </c>
      <c r="J36" s="154">
        <f t="shared" si="3"/>
        <v>94.5</v>
      </c>
      <c r="K36" s="154" t="s">
        <v>258</v>
      </c>
      <c r="L36" s="166">
        <f t="shared" si="2"/>
        <v>2.11</v>
      </c>
      <c r="M36" s="168"/>
    </row>
    <row r="37" spans="1:13" s="165" customFormat="1" ht="15" customHeight="1">
      <c r="A37" s="211"/>
      <c r="B37" s="160">
        <v>600</v>
      </c>
      <c r="C37" s="161" t="s">
        <v>154</v>
      </c>
      <c r="D37" s="157" t="s">
        <v>198</v>
      </c>
      <c r="E37" s="158">
        <v>184</v>
      </c>
      <c r="F37" s="157" t="s">
        <v>209</v>
      </c>
      <c r="G37" s="158">
        <v>50</v>
      </c>
      <c r="H37" s="156">
        <v>3</v>
      </c>
      <c r="I37" s="156">
        <v>1.5</v>
      </c>
      <c r="J37" s="154">
        <f t="shared" si="3"/>
        <v>225</v>
      </c>
      <c r="K37" s="154" t="s">
        <v>258</v>
      </c>
      <c r="L37" s="166">
        <f t="shared" si="2"/>
        <v>2.11</v>
      </c>
      <c r="M37" s="168"/>
    </row>
    <row r="38" spans="1:13" s="165" customFormat="1" ht="15" customHeight="1">
      <c r="A38" s="211"/>
      <c r="B38" s="160">
        <v>600</v>
      </c>
      <c r="C38" s="161" t="s">
        <v>154</v>
      </c>
      <c r="D38" s="157" t="s">
        <v>199</v>
      </c>
      <c r="E38" s="158">
        <v>272</v>
      </c>
      <c r="F38" s="157" t="s">
        <v>209</v>
      </c>
      <c r="G38" s="158">
        <v>16</v>
      </c>
      <c r="H38" s="156">
        <v>3</v>
      </c>
      <c r="I38" s="156">
        <v>1.5</v>
      </c>
      <c r="J38" s="154">
        <f t="shared" si="3"/>
        <v>72</v>
      </c>
      <c r="K38" s="154" t="s">
        <v>258</v>
      </c>
      <c r="L38" s="166">
        <f t="shared" si="2"/>
        <v>2.11</v>
      </c>
      <c r="M38" s="168"/>
    </row>
    <row r="39" spans="1:13" s="165" customFormat="1" ht="15" customHeight="1">
      <c r="A39" s="211"/>
      <c r="B39" s="160">
        <v>600</v>
      </c>
      <c r="C39" s="182" t="s">
        <v>154</v>
      </c>
      <c r="D39" s="181" t="s">
        <v>200</v>
      </c>
      <c r="E39" s="180">
        <v>203</v>
      </c>
      <c r="F39" s="181" t="s">
        <v>210</v>
      </c>
      <c r="G39" s="158">
        <v>42</v>
      </c>
      <c r="H39" s="156">
        <v>3</v>
      </c>
      <c r="I39" s="156">
        <v>1.5</v>
      </c>
      <c r="J39" s="154">
        <f t="shared" si="3"/>
        <v>189</v>
      </c>
      <c r="K39" s="154" t="s">
        <v>258</v>
      </c>
      <c r="L39" s="166">
        <f t="shared" si="2"/>
        <v>2.11</v>
      </c>
      <c r="M39" s="168"/>
    </row>
    <row r="40" spans="1:13" s="165" customFormat="1" ht="15" customHeight="1">
      <c r="A40" s="211"/>
      <c r="B40" s="160">
        <v>600</v>
      </c>
      <c r="C40" s="161" t="s">
        <v>154</v>
      </c>
      <c r="D40" s="157" t="s">
        <v>201</v>
      </c>
      <c r="E40" s="158">
        <v>96</v>
      </c>
      <c r="F40" s="157" t="s">
        <v>211</v>
      </c>
      <c r="G40" s="158">
        <v>22</v>
      </c>
      <c r="H40" s="156">
        <v>3</v>
      </c>
      <c r="I40" s="156">
        <v>1.5</v>
      </c>
      <c r="J40" s="154">
        <f t="shared" si="3"/>
        <v>99</v>
      </c>
      <c r="K40" s="154" t="s">
        <v>258</v>
      </c>
      <c r="L40" s="166">
        <f t="shared" si="2"/>
        <v>2.11</v>
      </c>
      <c r="M40" s="168"/>
    </row>
    <row r="41" spans="1:13" s="165" customFormat="1" ht="15" customHeight="1">
      <c r="A41" s="211"/>
      <c r="B41" s="160">
        <v>600</v>
      </c>
      <c r="C41" s="161" t="s">
        <v>154</v>
      </c>
      <c r="D41" s="157" t="s">
        <v>202</v>
      </c>
      <c r="E41" s="158">
        <v>139</v>
      </c>
      <c r="F41" s="157" t="s">
        <v>212</v>
      </c>
      <c r="G41" s="158">
        <v>15</v>
      </c>
      <c r="H41" s="156">
        <v>3</v>
      </c>
      <c r="I41" s="156">
        <v>1.5</v>
      </c>
      <c r="J41" s="154">
        <f t="shared" si="3"/>
        <v>67.5</v>
      </c>
      <c r="K41" s="154" t="s">
        <v>258</v>
      </c>
      <c r="L41" s="166">
        <f t="shared" si="2"/>
        <v>2.11</v>
      </c>
      <c r="M41" s="168"/>
    </row>
    <row r="42" spans="1:13" s="165" customFormat="1" ht="15" customHeight="1">
      <c r="A42" s="211"/>
      <c r="B42" s="160">
        <v>630</v>
      </c>
      <c r="C42" s="161" t="s">
        <v>154</v>
      </c>
      <c r="D42" s="157" t="s">
        <v>203</v>
      </c>
      <c r="E42" s="158">
        <v>66</v>
      </c>
      <c r="F42" s="157" t="s">
        <v>213</v>
      </c>
      <c r="G42" s="158">
        <v>25</v>
      </c>
      <c r="H42" s="156">
        <v>3</v>
      </c>
      <c r="I42" s="156">
        <v>1.5</v>
      </c>
      <c r="J42" s="154">
        <f t="shared" si="3"/>
        <v>112.5</v>
      </c>
      <c r="K42" s="154" t="s">
        <v>258</v>
      </c>
      <c r="L42" s="166">
        <f t="shared" si="2"/>
        <v>2.2155</v>
      </c>
      <c r="M42" s="168"/>
    </row>
    <row r="43" spans="1:13" s="165" customFormat="1" ht="14.4" customHeight="1">
      <c r="A43" s="211"/>
      <c r="B43" s="160">
        <v>650</v>
      </c>
      <c r="C43" s="161" t="s">
        <v>154</v>
      </c>
      <c r="D43" s="157" t="s">
        <v>204</v>
      </c>
      <c r="E43" s="158">
        <v>270</v>
      </c>
      <c r="F43" s="157" t="s">
        <v>214</v>
      </c>
      <c r="G43" s="158">
        <v>25</v>
      </c>
      <c r="H43" s="156">
        <v>3</v>
      </c>
      <c r="I43" s="156">
        <v>1.5</v>
      </c>
      <c r="J43" s="154">
        <f t="shared" si="3"/>
        <v>112.5</v>
      </c>
      <c r="K43" s="154" t="s">
        <v>258</v>
      </c>
      <c r="L43" s="166">
        <f t="shared" si="2"/>
        <v>2.2858333333333332</v>
      </c>
      <c r="M43" s="168"/>
    </row>
    <row r="44" spans="1:13" s="165" customFormat="1" ht="15" customHeight="1">
      <c r="A44" s="211"/>
      <c r="B44" s="160">
        <v>650</v>
      </c>
      <c r="C44" s="161" t="s">
        <v>154</v>
      </c>
      <c r="D44" s="157" t="s">
        <v>205</v>
      </c>
      <c r="E44" s="158">
        <v>82</v>
      </c>
      <c r="F44" s="157" t="s">
        <v>215</v>
      </c>
      <c r="G44" s="158">
        <v>30</v>
      </c>
      <c r="H44" s="156">
        <v>3</v>
      </c>
      <c r="I44" s="156">
        <v>1.5</v>
      </c>
      <c r="J44" s="154">
        <f t="shared" si="3"/>
        <v>135</v>
      </c>
      <c r="K44" s="154" t="s">
        <v>258</v>
      </c>
      <c r="L44" s="166">
        <f t="shared" si="2"/>
        <v>2.2858333333333332</v>
      </c>
      <c r="M44" s="168"/>
    </row>
    <row r="45" spans="1:13" s="165" customFormat="1" ht="15" customHeight="1">
      <c r="A45" s="211"/>
      <c r="B45" s="160">
        <v>650</v>
      </c>
      <c r="C45" s="161" t="s">
        <v>154</v>
      </c>
      <c r="D45" s="157" t="s">
        <v>206</v>
      </c>
      <c r="E45" s="158">
        <v>80</v>
      </c>
      <c r="F45" s="164" t="s">
        <v>173</v>
      </c>
      <c r="G45" s="158">
        <v>25</v>
      </c>
      <c r="H45" s="156">
        <v>3</v>
      </c>
      <c r="I45" s="156">
        <v>1.5</v>
      </c>
      <c r="J45" s="154">
        <f t="shared" si="3"/>
        <v>112.5</v>
      </c>
      <c r="K45" s="154" t="s">
        <v>258</v>
      </c>
      <c r="L45" s="166">
        <f t="shared" si="2"/>
        <v>2.2858333333333332</v>
      </c>
      <c r="M45" s="169"/>
    </row>
    <row r="46" spans="1:13">
      <c r="A46" s="210" t="s">
        <v>77</v>
      </c>
      <c r="B46" s="210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0"/>
    </row>
    <row r="47" spans="1:13" ht="14.4" customHeight="1">
      <c r="A47" s="211" t="s">
        <v>79</v>
      </c>
      <c r="B47" s="127">
        <v>167</v>
      </c>
      <c r="C47" s="12" t="s">
        <v>89</v>
      </c>
      <c r="D47" s="222" t="s">
        <v>471</v>
      </c>
      <c r="E47" s="223"/>
      <c r="F47" s="224"/>
      <c r="G47" s="91">
        <v>500</v>
      </c>
      <c r="H47" s="21">
        <v>3</v>
      </c>
      <c r="I47" s="21">
        <v>0.1</v>
      </c>
      <c r="J47" s="21">
        <f>I47*H47*G47</f>
        <v>150.00000000000003</v>
      </c>
      <c r="K47" s="93" t="s">
        <v>258</v>
      </c>
      <c r="L47" s="139">
        <f>((B47*211)+(B47*211*2/3))/100000</f>
        <v>0.58728333333333327</v>
      </c>
      <c r="M47" s="105" t="s">
        <v>455</v>
      </c>
    </row>
    <row r="48" spans="1:13">
      <c r="A48" s="211"/>
      <c r="B48" s="128">
        <v>166</v>
      </c>
      <c r="C48" s="12" t="s">
        <v>91</v>
      </c>
      <c r="D48" s="222" t="s">
        <v>471</v>
      </c>
      <c r="E48" s="223"/>
      <c r="F48" s="224"/>
      <c r="G48" s="91">
        <v>5</v>
      </c>
      <c r="H48" s="21">
        <v>3</v>
      </c>
      <c r="I48" s="21">
        <v>2</v>
      </c>
      <c r="J48" s="21">
        <f>I48*H48*G48</f>
        <v>30</v>
      </c>
      <c r="K48" s="93" t="s">
        <v>258</v>
      </c>
      <c r="L48" s="146">
        <f t="shared" ref="L48:L52" si="4">((B48*211)+(B48*211*2/3))/100000</f>
        <v>0.58376666666666677</v>
      </c>
      <c r="M48" s="105"/>
    </row>
    <row r="49" spans="1:13">
      <c r="A49" s="211"/>
      <c r="B49" s="129">
        <v>167</v>
      </c>
      <c r="C49" s="13" t="s">
        <v>314</v>
      </c>
      <c r="D49" s="222" t="s">
        <v>471</v>
      </c>
      <c r="E49" s="223"/>
      <c r="F49" s="224"/>
      <c r="G49" s="91">
        <v>1500</v>
      </c>
      <c r="H49" s="21">
        <v>1.2</v>
      </c>
      <c r="I49" s="21"/>
      <c r="J49" s="21">
        <f>H49*G49</f>
        <v>1800</v>
      </c>
      <c r="K49" s="93" t="s">
        <v>467</v>
      </c>
      <c r="L49" s="146">
        <f t="shared" si="4"/>
        <v>0.58728333333333327</v>
      </c>
      <c r="M49" s="105"/>
    </row>
    <row r="50" spans="1:13" ht="28.95" customHeight="1">
      <c r="A50" s="68" t="s">
        <v>81</v>
      </c>
      <c r="B50" s="50">
        <v>2000</v>
      </c>
      <c r="C50" s="28" t="s">
        <v>110</v>
      </c>
      <c r="D50" s="222" t="s">
        <v>472</v>
      </c>
      <c r="E50" s="223"/>
      <c r="F50" s="224"/>
      <c r="G50" s="91">
        <v>2000</v>
      </c>
      <c r="H50" s="21">
        <v>3</v>
      </c>
      <c r="I50" s="21"/>
      <c r="J50" s="21">
        <f t="shared" ref="J50:J52" si="5">H50*G50</f>
        <v>6000</v>
      </c>
      <c r="K50" s="93" t="s">
        <v>467</v>
      </c>
      <c r="L50" s="146">
        <f t="shared" si="4"/>
        <v>7.0333333333333323</v>
      </c>
      <c r="M50" s="94" t="s">
        <v>456</v>
      </c>
    </row>
    <row r="51" spans="1:13" ht="14.4" customHeight="1">
      <c r="A51" s="211" t="s">
        <v>82</v>
      </c>
      <c r="B51" s="50">
        <v>500</v>
      </c>
      <c r="C51" s="12" t="s">
        <v>103</v>
      </c>
      <c r="D51" s="222" t="s">
        <v>471</v>
      </c>
      <c r="E51" s="223"/>
      <c r="F51" s="224"/>
      <c r="G51" s="91">
        <v>6</v>
      </c>
      <c r="H51" s="21">
        <v>4.5</v>
      </c>
      <c r="I51" s="21"/>
      <c r="J51" s="21">
        <f t="shared" si="5"/>
        <v>27</v>
      </c>
      <c r="K51" s="93" t="s">
        <v>467</v>
      </c>
      <c r="L51" s="146">
        <f t="shared" si="4"/>
        <v>1.7583333333333331</v>
      </c>
      <c r="M51" s="96" t="s">
        <v>457</v>
      </c>
    </row>
    <row r="52" spans="1:13" ht="15.6">
      <c r="A52" s="211"/>
      <c r="B52" s="50">
        <v>500</v>
      </c>
      <c r="C52" s="12" t="s">
        <v>106</v>
      </c>
      <c r="D52" s="222" t="s">
        <v>471</v>
      </c>
      <c r="E52" s="223"/>
      <c r="F52" s="224"/>
      <c r="G52" s="91">
        <v>10</v>
      </c>
      <c r="H52" s="21">
        <v>4</v>
      </c>
      <c r="I52" s="21"/>
      <c r="J52" s="21">
        <f t="shared" si="5"/>
        <v>40</v>
      </c>
      <c r="K52" s="93" t="s">
        <v>467</v>
      </c>
      <c r="L52" s="146">
        <f t="shared" si="4"/>
        <v>1.7583333333333331</v>
      </c>
      <c r="M52" s="96" t="s">
        <v>458</v>
      </c>
    </row>
    <row r="53" spans="1:13">
      <c r="B53" s="10">
        <f>B52+B51+B50+B49+B48+B47+B45+B44+B43+B42+B41+B40+B39+B38+B37+B36+B35+B34+B33+B32+B31+B30+B29+B28+B27+B25+B24+B23+B22+B21+B20+B19+B18+B17+B16+B15+B14+B13+B12+B11+B10</f>
        <v>30780</v>
      </c>
      <c r="L53" s="64">
        <f>L52+L51+L50+L49+L48+L47+L45+L44+L43+L42+L41+L40+L39+L38+L37+L36+L35+L34+L33+L32+L31+L30+L29+L28+L27+L25+L24+L23+L22+L21+L20+L19+L18+L17+L16+L15+L14+L13+L12+L11+L10</f>
        <v>108.24299999999998</v>
      </c>
    </row>
    <row r="54" spans="1:13">
      <c r="B54" s="26">
        <f>B3*90</f>
        <v>30780</v>
      </c>
      <c r="L54" s="65">
        <f>E4/100000</f>
        <v>108.24299999999999</v>
      </c>
    </row>
  </sheetData>
  <mergeCells count="37">
    <mergeCell ref="D47:F47"/>
    <mergeCell ref="D48:F48"/>
    <mergeCell ref="D49:F49"/>
    <mergeCell ref="D50:F50"/>
    <mergeCell ref="D51:F51"/>
    <mergeCell ref="M7:M8"/>
    <mergeCell ref="A27:A28"/>
    <mergeCell ref="A29:A32"/>
    <mergeCell ref="A9:L9"/>
    <mergeCell ref="L7:L8"/>
    <mergeCell ref="A7:A8"/>
    <mergeCell ref="B7:B8"/>
    <mergeCell ref="C7:C8"/>
    <mergeCell ref="A13:A25"/>
    <mergeCell ref="D10:F10"/>
    <mergeCell ref="G7:K7"/>
    <mergeCell ref="G12:J12"/>
    <mergeCell ref="D27:F27"/>
    <mergeCell ref="G27:K27"/>
    <mergeCell ref="G29:J29"/>
    <mergeCell ref="G30:J30"/>
    <mergeCell ref="A47:A49"/>
    <mergeCell ref="A51:A52"/>
    <mergeCell ref="G2:I2"/>
    <mergeCell ref="G3:I3"/>
    <mergeCell ref="G4:I4"/>
    <mergeCell ref="G5:I5"/>
    <mergeCell ref="G6:I6"/>
    <mergeCell ref="D7:F8"/>
    <mergeCell ref="A26:L26"/>
    <mergeCell ref="A46:L46"/>
    <mergeCell ref="A34:A45"/>
    <mergeCell ref="D12:F12"/>
    <mergeCell ref="G31:J31"/>
    <mergeCell ref="G32:J32"/>
    <mergeCell ref="D33:F33"/>
    <mergeCell ref="D52:F52"/>
  </mergeCells>
  <printOptions horizontalCentered="1"/>
  <pageMargins left="0.7" right="0.7" top="1.0416666666666667" bottom="0.75" header="0.3" footer="0.3"/>
  <pageSetup paperSize="9" orientation="landscape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P44"/>
  <sheetViews>
    <sheetView topLeftCell="A4" workbookViewId="0">
      <selection activeCell="F24" sqref="F24"/>
    </sheetView>
  </sheetViews>
  <sheetFormatPr defaultRowHeight="14.4"/>
  <cols>
    <col min="1" max="1" width="17" style="9" customWidth="1"/>
    <col min="2" max="2" width="9.6640625" style="10" customWidth="1"/>
    <col min="3" max="3" width="16.6640625" customWidth="1"/>
    <col min="4" max="4" width="14.33203125" style="3" customWidth="1"/>
    <col min="5" max="5" width="9" style="3" customWidth="1"/>
    <col min="6" max="6" width="27.5546875" style="3" customWidth="1"/>
    <col min="7" max="7" width="5" style="18" customWidth="1"/>
    <col min="8" max="9" width="4.5546875" style="18" customWidth="1"/>
    <col min="10" max="10" width="6.44140625" style="18" customWidth="1"/>
    <col min="11" max="11" width="5.109375" style="18" customWidth="1"/>
    <col min="12" max="12" width="8.88671875" style="59"/>
    <col min="13" max="13" width="23" style="10" bestFit="1" customWidth="1"/>
  </cols>
  <sheetData>
    <row r="1" spans="1:15">
      <c r="A1" s="19" t="s">
        <v>236</v>
      </c>
      <c r="B1" s="6"/>
      <c r="C1" s="16"/>
      <c r="D1" s="16" t="s">
        <v>146</v>
      </c>
      <c r="E1" s="16"/>
      <c r="F1" s="16"/>
      <c r="G1" s="16"/>
      <c r="H1" s="16"/>
      <c r="I1" s="16"/>
      <c r="J1" s="16"/>
      <c r="K1" s="16"/>
      <c r="L1" s="63"/>
      <c r="M1" s="11"/>
    </row>
    <row r="2" spans="1:15">
      <c r="A2" s="1"/>
      <c r="B2" s="6"/>
      <c r="C2" s="2"/>
      <c r="D2" s="2" t="s">
        <v>0</v>
      </c>
      <c r="E2" s="19">
        <f>B3*211*90</f>
        <v>3722040</v>
      </c>
      <c r="F2" s="2"/>
      <c r="G2" s="204"/>
      <c r="H2" s="204"/>
      <c r="I2" s="204"/>
      <c r="J2" s="56"/>
      <c r="K2" s="56"/>
      <c r="L2" s="63"/>
      <c r="M2" s="11"/>
    </row>
    <row r="3" spans="1:15">
      <c r="A3" s="19" t="s">
        <v>1</v>
      </c>
      <c r="B3" s="6">
        <v>196</v>
      </c>
      <c r="C3" s="2"/>
      <c r="D3" s="2" t="s">
        <v>2</v>
      </c>
      <c r="E3" s="19">
        <f>E2*2/3</f>
        <v>2481360</v>
      </c>
      <c r="F3" s="2"/>
      <c r="G3" s="205"/>
      <c r="H3" s="205"/>
      <c r="I3" s="205"/>
      <c r="J3" s="57"/>
      <c r="K3" s="57"/>
      <c r="L3" s="63"/>
      <c r="M3" s="11"/>
    </row>
    <row r="4" spans="1:15">
      <c r="A4" s="7"/>
      <c r="B4" s="5"/>
      <c r="C4" s="2"/>
      <c r="D4" s="2" t="s">
        <v>3</v>
      </c>
      <c r="E4" s="19">
        <f>SUM(E2:E3)</f>
        <v>6203400</v>
      </c>
      <c r="F4" s="2"/>
      <c r="G4" s="205"/>
      <c r="H4" s="205"/>
      <c r="I4" s="205"/>
      <c r="J4" s="57"/>
      <c r="K4" s="57"/>
      <c r="L4" s="63"/>
      <c r="M4" s="11"/>
    </row>
    <row r="5" spans="1:15">
      <c r="A5" s="7"/>
      <c r="B5" s="5"/>
      <c r="C5" s="2"/>
      <c r="D5" s="2" t="s">
        <v>4</v>
      </c>
      <c r="E5" s="19">
        <f>E4*0.06</f>
        <v>372204</v>
      </c>
      <c r="F5" s="2"/>
      <c r="G5" s="205"/>
      <c r="H5" s="205"/>
      <c r="I5" s="205"/>
      <c r="J5" s="57"/>
      <c r="K5" s="57"/>
      <c r="L5" s="63"/>
      <c r="M5" s="11"/>
    </row>
    <row r="6" spans="1:15">
      <c r="A6" s="7"/>
      <c r="B6" s="5"/>
      <c r="C6" s="2"/>
      <c r="D6" s="2" t="s">
        <v>5</v>
      </c>
      <c r="E6" s="19">
        <f>E5+E4</f>
        <v>6575604</v>
      </c>
      <c r="F6" s="2"/>
      <c r="G6" s="206"/>
      <c r="H6" s="206"/>
      <c r="I6" s="206"/>
      <c r="J6" s="58"/>
      <c r="K6" s="58"/>
      <c r="L6" s="63"/>
      <c r="M6" s="11"/>
    </row>
    <row r="7" spans="1:15" ht="21" customHeight="1">
      <c r="A7" s="187" t="s">
        <v>18</v>
      </c>
      <c r="B7" s="186" t="s">
        <v>14</v>
      </c>
      <c r="C7" s="184" t="s">
        <v>147</v>
      </c>
      <c r="D7" s="193" t="s">
        <v>7</v>
      </c>
      <c r="E7" s="194"/>
      <c r="F7" s="184"/>
      <c r="G7" s="234" t="s">
        <v>153</v>
      </c>
      <c r="H7" s="235"/>
      <c r="I7" s="235"/>
      <c r="J7" s="235"/>
      <c r="K7" s="236"/>
      <c r="L7" s="202" t="s">
        <v>144</v>
      </c>
      <c r="M7" s="200" t="s">
        <v>117</v>
      </c>
    </row>
    <row r="8" spans="1:15" ht="27" customHeight="1">
      <c r="A8" s="187"/>
      <c r="B8" s="186"/>
      <c r="C8" s="185"/>
      <c r="D8" s="195"/>
      <c r="E8" s="196"/>
      <c r="F8" s="185"/>
      <c r="G8" s="48" t="s">
        <v>148</v>
      </c>
      <c r="H8" s="48" t="s">
        <v>149</v>
      </c>
      <c r="I8" s="48" t="s">
        <v>150</v>
      </c>
      <c r="J8" s="48" t="s">
        <v>151</v>
      </c>
      <c r="K8" s="48" t="s">
        <v>152</v>
      </c>
      <c r="L8" s="203"/>
      <c r="M8" s="201"/>
    </row>
    <row r="9" spans="1:15" ht="14.4" customHeight="1">
      <c r="A9" s="189" t="s">
        <v>40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67"/>
      <c r="O9">
        <f>5000/8</f>
        <v>625</v>
      </c>
    </row>
    <row r="10" spans="1:15" ht="15" customHeight="1">
      <c r="A10" s="190" t="s">
        <v>8</v>
      </c>
      <c r="B10" s="127">
        <v>600</v>
      </c>
      <c r="C10" s="178" t="s">
        <v>38</v>
      </c>
      <c r="D10" s="181" t="s">
        <v>246</v>
      </c>
      <c r="E10" s="180">
        <v>81</v>
      </c>
      <c r="F10" s="181" t="s">
        <v>247</v>
      </c>
      <c r="G10" s="29">
        <v>1000</v>
      </c>
      <c r="H10" s="29">
        <v>1.5</v>
      </c>
      <c r="I10" s="29">
        <v>1</v>
      </c>
      <c r="J10" s="21">
        <f>I10*H10*G10</f>
        <v>1500</v>
      </c>
      <c r="K10" s="50" t="s">
        <v>258</v>
      </c>
      <c r="L10" s="139">
        <f>((B10*211)+(B10*211*2/3))/100000</f>
        <v>2.11</v>
      </c>
      <c r="M10" s="134" t="s">
        <v>459</v>
      </c>
    </row>
    <row r="11" spans="1:15" ht="15" customHeight="1">
      <c r="A11" s="191"/>
      <c r="B11" s="127">
        <v>600</v>
      </c>
      <c r="C11" s="178" t="s">
        <v>38</v>
      </c>
      <c r="D11" s="181" t="s">
        <v>248</v>
      </c>
      <c r="E11" s="180">
        <v>105</v>
      </c>
      <c r="F11" s="181" t="s">
        <v>249</v>
      </c>
      <c r="G11" s="29">
        <v>1200</v>
      </c>
      <c r="H11" s="29">
        <v>1.5</v>
      </c>
      <c r="I11" s="29">
        <v>1</v>
      </c>
      <c r="J11" s="21">
        <f t="shared" ref="J11:J17" si="0">I11*H11*G11</f>
        <v>1800</v>
      </c>
      <c r="K11" s="50" t="s">
        <v>258</v>
      </c>
      <c r="L11" s="146">
        <f t="shared" ref="L11:L17" si="1">((B11*211)+(B11*211*2/3))/100000</f>
        <v>2.11</v>
      </c>
      <c r="M11" s="135"/>
    </row>
    <row r="12" spans="1:15" ht="15" customHeight="1">
      <c r="A12" s="191"/>
      <c r="B12" s="127">
        <v>600</v>
      </c>
      <c r="C12" s="178" t="s">
        <v>38</v>
      </c>
      <c r="D12" s="181" t="s">
        <v>250</v>
      </c>
      <c r="E12" s="180">
        <v>116</v>
      </c>
      <c r="F12" s="181" t="s">
        <v>251</v>
      </c>
      <c r="G12" s="29">
        <v>1200</v>
      </c>
      <c r="H12" s="29">
        <v>1.5</v>
      </c>
      <c r="I12" s="29">
        <v>1</v>
      </c>
      <c r="J12" s="21">
        <f t="shared" si="0"/>
        <v>1800</v>
      </c>
      <c r="K12" s="50" t="s">
        <v>258</v>
      </c>
      <c r="L12" s="146">
        <f t="shared" si="1"/>
        <v>2.11</v>
      </c>
      <c r="M12" s="135"/>
    </row>
    <row r="13" spans="1:15" ht="15" customHeight="1">
      <c r="A13" s="191"/>
      <c r="B13" s="127">
        <v>600</v>
      </c>
      <c r="C13" s="178" t="s">
        <v>38</v>
      </c>
      <c r="D13" s="181" t="s">
        <v>252</v>
      </c>
      <c r="E13" s="180">
        <v>251</v>
      </c>
      <c r="F13" s="181" t="s">
        <v>247</v>
      </c>
      <c r="G13" s="29">
        <v>900</v>
      </c>
      <c r="H13" s="29">
        <v>1.5</v>
      </c>
      <c r="I13" s="29">
        <v>1</v>
      </c>
      <c r="J13" s="21">
        <f t="shared" si="0"/>
        <v>1350</v>
      </c>
      <c r="K13" s="50" t="s">
        <v>258</v>
      </c>
      <c r="L13" s="146">
        <f t="shared" si="1"/>
        <v>2.11</v>
      </c>
      <c r="M13" s="135"/>
    </row>
    <row r="14" spans="1:15" ht="15" customHeight="1">
      <c r="A14" s="191"/>
      <c r="B14" s="127">
        <v>600</v>
      </c>
      <c r="C14" s="178" t="s">
        <v>38</v>
      </c>
      <c r="D14" s="181" t="s">
        <v>253</v>
      </c>
      <c r="E14" s="180">
        <v>88</v>
      </c>
      <c r="F14" s="181" t="s">
        <v>251</v>
      </c>
      <c r="G14" s="29">
        <v>1000</v>
      </c>
      <c r="H14" s="29">
        <v>1.5</v>
      </c>
      <c r="I14" s="29">
        <v>1</v>
      </c>
      <c r="J14" s="21">
        <f t="shared" si="0"/>
        <v>1500</v>
      </c>
      <c r="K14" s="50" t="s">
        <v>258</v>
      </c>
      <c r="L14" s="146">
        <f t="shared" si="1"/>
        <v>2.11</v>
      </c>
      <c r="M14" s="135"/>
    </row>
    <row r="15" spans="1:15" ht="15" customHeight="1">
      <c r="A15" s="191"/>
      <c r="B15" s="127">
        <v>600</v>
      </c>
      <c r="C15" s="178" t="s">
        <v>38</v>
      </c>
      <c r="D15" s="181" t="s">
        <v>254</v>
      </c>
      <c r="E15" s="180">
        <v>125</v>
      </c>
      <c r="F15" s="181" t="s">
        <v>255</v>
      </c>
      <c r="G15" s="29">
        <v>900</v>
      </c>
      <c r="H15" s="29">
        <v>1.5</v>
      </c>
      <c r="I15" s="29">
        <v>1</v>
      </c>
      <c r="J15" s="21">
        <f t="shared" si="0"/>
        <v>1350</v>
      </c>
      <c r="K15" s="50" t="s">
        <v>258</v>
      </c>
      <c r="L15" s="146">
        <f t="shared" si="1"/>
        <v>2.11</v>
      </c>
      <c r="M15" s="135"/>
    </row>
    <row r="16" spans="1:15" ht="15" customHeight="1">
      <c r="A16" s="191"/>
      <c r="B16" s="127">
        <v>600</v>
      </c>
      <c r="C16" s="15" t="s">
        <v>38</v>
      </c>
      <c r="D16" s="20" t="s">
        <v>256</v>
      </c>
      <c r="E16" s="29">
        <v>164</v>
      </c>
      <c r="F16" s="54" t="s">
        <v>251</v>
      </c>
      <c r="G16" s="29">
        <v>800</v>
      </c>
      <c r="H16" s="29">
        <v>1.5</v>
      </c>
      <c r="I16" s="29">
        <v>1</v>
      </c>
      <c r="J16" s="21">
        <f t="shared" si="0"/>
        <v>1200</v>
      </c>
      <c r="K16" s="50" t="s">
        <v>258</v>
      </c>
      <c r="L16" s="146">
        <f t="shared" si="1"/>
        <v>2.11</v>
      </c>
      <c r="M16" s="135"/>
    </row>
    <row r="17" spans="1:13" ht="15" customHeight="1">
      <c r="A17" s="192"/>
      <c r="B17" s="127">
        <v>600</v>
      </c>
      <c r="C17" s="15" t="s">
        <v>38</v>
      </c>
      <c r="D17" s="54" t="s">
        <v>257</v>
      </c>
      <c r="E17" s="29">
        <v>103</v>
      </c>
      <c r="F17" s="54" t="s">
        <v>255</v>
      </c>
      <c r="G17" s="29">
        <v>1000</v>
      </c>
      <c r="H17" s="29">
        <v>1.5</v>
      </c>
      <c r="I17" s="29">
        <v>1</v>
      </c>
      <c r="J17" s="21">
        <f t="shared" si="0"/>
        <v>1500</v>
      </c>
      <c r="K17" s="50" t="s">
        <v>258</v>
      </c>
      <c r="L17" s="146">
        <f t="shared" si="1"/>
        <v>2.11</v>
      </c>
      <c r="M17" s="136"/>
    </row>
    <row r="18" spans="1:13" ht="14.4" customHeight="1">
      <c r="A18" s="237" t="s">
        <v>39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38"/>
      <c r="L18" s="239"/>
      <c r="M18" s="67"/>
    </row>
    <row r="19" spans="1:13" ht="43.2">
      <c r="A19" s="53" t="s">
        <v>41</v>
      </c>
      <c r="B19" s="50">
        <v>670</v>
      </c>
      <c r="C19" s="14" t="s">
        <v>48</v>
      </c>
      <c r="D19" s="105" t="s">
        <v>283</v>
      </c>
      <c r="E19" s="90">
        <v>89</v>
      </c>
      <c r="F19" s="15" t="s">
        <v>247</v>
      </c>
      <c r="G19" s="222" t="s">
        <v>473</v>
      </c>
      <c r="H19" s="223"/>
      <c r="I19" s="223"/>
      <c r="J19" s="223"/>
      <c r="K19" s="224"/>
      <c r="L19" s="138">
        <f>((B19*211)+(B19*211*2/3))/100000</f>
        <v>2.3561666666666667</v>
      </c>
      <c r="M19" s="89" t="s">
        <v>461</v>
      </c>
    </row>
    <row r="20" spans="1:13" ht="14.4" customHeight="1">
      <c r="A20" s="211" t="s">
        <v>46</v>
      </c>
      <c r="B20" s="127">
        <v>600</v>
      </c>
      <c r="C20" s="13" t="s">
        <v>460</v>
      </c>
      <c r="D20" s="54" t="s">
        <v>260</v>
      </c>
      <c r="E20" s="29">
        <v>83</v>
      </c>
      <c r="F20" s="54" t="s">
        <v>261</v>
      </c>
      <c r="G20" s="29">
        <v>25</v>
      </c>
      <c r="H20" s="29">
        <v>3</v>
      </c>
      <c r="I20" s="29">
        <v>1.2</v>
      </c>
      <c r="J20" s="21">
        <f>I20*H20*G20</f>
        <v>89.999999999999986</v>
      </c>
      <c r="K20" s="50" t="s">
        <v>258</v>
      </c>
      <c r="L20" s="138">
        <f t="shared" ref="L20:L29" si="2">((B20*211)+(B20*211*2/3))/100000</f>
        <v>2.11</v>
      </c>
      <c r="M20" s="134" t="s">
        <v>462</v>
      </c>
    </row>
    <row r="21" spans="1:13" ht="15" customHeight="1">
      <c r="A21" s="211"/>
      <c r="B21" s="145">
        <v>600</v>
      </c>
      <c r="C21" s="13" t="s">
        <v>460</v>
      </c>
      <c r="D21" s="54" t="s">
        <v>262</v>
      </c>
      <c r="E21" s="29">
        <v>13</v>
      </c>
      <c r="F21" s="54" t="s">
        <v>261</v>
      </c>
      <c r="G21" s="29">
        <v>25</v>
      </c>
      <c r="H21" s="29">
        <v>3</v>
      </c>
      <c r="I21" s="29">
        <v>1.2</v>
      </c>
      <c r="J21" s="21">
        <f t="shared" ref="J21:J29" si="3">I21*H21*G21</f>
        <v>89.999999999999986</v>
      </c>
      <c r="K21" s="50" t="s">
        <v>258</v>
      </c>
      <c r="L21" s="138">
        <f t="shared" si="2"/>
        <v>2.11</v>
      </c>
      <c r="M21" s="135"/>
    </row>
    <row r="22" spans="1:13" ht="15" customHeight="1">
      <c r="A22" s="211"/>
      <c r="B22" s="145">
        <v>600</v>
      </c>
      <c r="C22" s="13" t="s">
        <v>460</v>
      </c>
      <c r="D22" s="54" t="s">
        <v>263</v>
      </c>
      <c r="E22" s="29">
        <v>54</v>
      </c>
      <c r="F22" s="54" t="s">
        <v>251</v>
      </c>
      <c r="G22" s="29">
        <v>60</v>
      </c>
      <c r="H22" s="29">
        <v>2</v>
      </c>
      <c r="I22" s="29">
        <v>1.2</v>
      </c>
      <c r="J22" s="21">
        <f t="shared" si="3"/>
        <v>144</v>
      </c>
      <c r="K22" s="50" t="s">
        <v>258</v>
      </c>
      <c r="L22" s="138">
        <f t="shared" si="2"/>
        <v>2.11</v>
      </c>
      <c r="M22" s="135"/>
    </row>
    <row r="23" spans="1:13" ht="15" customHeight="1">
      <c r="A23" s="211"/>
      <c r="B23" s="145">
        <v>600</v>
      </c>
      <c r="C23" s="13" t="s">
        <v>460</v>
      </c>
      <c r="D23" s="54" t="s">
        <v>264</v>
      </c>
      <c r="E23" s="29">
        <v>247</v>
      </c>
      <c r="F23" s="54" t="s">
        <v>255</v>
      </c>
      <c r="G23" s="29">
        <v>15</v>
      </c>
      <c r="H23" s="29">
        <v>2</v>
      </c>
      <c r="I23" s="29">
        <v>1.2</v>
      </c>
      <c r="J23" s="21">
        <f t="shared" si="3"/>
        <v>36</v>
      </c>
      <c r="K23" s="50" t="s">
        <v>258</v>
      </c>
      <c r="L23" s="138">
        <f t="shared" si="2"/>
        <v>2.11</v>
      </c>
      <c r="M23" s="135"/>
    </row>
    <row r="24" spans="1:13" ht="15" customHeight="1">
      <c r="A24" s="211"/>
      <c r="B24" s="145">
        <v>600</v>
      </c>
      <c r="C24" s="13" t="s">
        <v>460</v>
      </c>
      <c r="D24" s="54" t="s">
        <v>265</v>
      </c>
      <c r="E24" s="29">
        <v>154</v>
      </c>
      <c r="F24" s="54" t="s">
        <v>266</v>
      </c>
      <c r="G24" s="29">
        <v>40</v>
      </c>
      <c r="H24" s="29">
        <v>2</v>
      </c>
      <c r="I24" s="29">
        <v>1.2</v>
      </c>
      <c r="J24" s="21">
        <f t="shared" si="3"/>
        <v>96</v>
      </c>
      <c r="K24" s="50" t="s">
        <v>258</v>
      </c>
      <c r="L24" s="138">
        <f t="shared" si="2"/>
        <v>2.11</v>
      </c>
      <c r="M24" s="135"/>
    </row>
    <row r="25" spans="1:13" ht="15" customHeight="1">
      <c r="A25" s="211"/>
      <c r="B25" s="145">
        <v>600</v>
      </c>
      <c r="C25" s="13" t="s">
        <v>460</v>
      </c>
      <c r="D25" s="54" t="s">
        <v>267</v>
      </c>
      <c r="E25" s="29">
        <v>147</v>
      </c>
      <c r="F25" s="54" t="s">
        <v>247</v>
      </c>
      <c r="G25" s="29">
        <v>20</v>
      </c>
      <c r="H25" s="29">
        <v>2</v>
      </c>
      <c r="I25" s="29">
        <v>1.2</v>
      </c>
      <c r="J25" s="21">
        <f t="shared" si="3"/>
        <v>48</v>
      </c>
      <c r="K25" s="50" t="s">
        <v>258</v>
      </c>
      <c r="L25" s="138">
        <f t="shared" si="2"/>
        <v>2.11</v>
      </c>
      <c r="M25" s="135"/>
    </row>
    <row r="26" spans="1:13" ht="15" customHeight="1">
      <c r="A26" s="211"/>
      <c r="B26" s="145">
        <v>600</v>
      </c>
      <c r="C26" s="13" t="s">
        <v>460</v>
      </c>
      <c r="D26" s="54" t="s">
        <v>268</v>
      </c>
      <c r="E26" s="29">
        <v>3</v>
      </c>
      <c r="F26" s="54" t="s">
        <v>269</v>
      </c>
      <c r="G26" s="29">
        <v>40</v>
      </c>
      <c r="H26" s="29">
        <v>3</v>
      </c>
      <c r="I26" s="29">
        <v>1.2</v>
      </c>
      <c r="J26" s="21">
        <f t="shared" si="3"/>
        <v>144</v>
      </c>
      <c r="K26" s="50" t="s">
        <v>258</v>
      </c>
      <c r="L26" s="138">
        <f t="shared" si="2"/>
        <v>2.11</v>
      </c>
      <c r="M26" s="135"/>
    </row>
    <row r="27" spans="1:13" ht="15" customHeight="1">
      <c r="A27" s="211"/>
      <c r="B27" s="145">
        <v>600</v>
      </c>
      <c r="C27" s="13" t="s">
        <v>460</v>
      </c>
      <c r="D27" s="54" t="s">
        <v>270</v>
      </c>
      <c r="E27" s="29">
        <v>106</v>
      </c>
      <c r="F27" s="54" t="s">
        <v>247</v>
      </c>
      <c r="G27" s="29">
        <v>60</v>
      </c>
      <c r="H27" s="29">
        <v>3</v>
      </c>
      <c r="I27" s="29">
        <v>1.2</v>
      </c>
      <c r="J27" s="21">
        <f t="shared" si="3"/>
        <v>215.99999999999997</v>
      </c>
      <c r="K27" s="50" t="s">
        <v>258</v>
      </c>
      <c r="L27" s="138">
        <f t="shared" si="2"/>
        <v>2.11</v>
      </c>
      <c r="M27" s="135"/>
    </row>
    <row r="28" spans="1:13" ht="15" customHeight="1">
      <c r="A28" s="211"/>
      <c r="B28" s="145">
        <v>600</v>
      </c>
      <c r="C28" s="13" t="s">
        <v>460</v>
      </c>
      <c r="D28" s="54" t="s">
        <v>271</v>
      </c>
      <c r="E28" s="29">
        <v>122</v>
      </c>
      <c r="F28" s="54" t="s">
        <v>247</v>
      </c>
      <c r="G28" s="29">
        <v>60</v>
      </c>
      <c r="H28" s="29">
        <v>3</v>
      </c>
      <c r="I28" s="29">
        <v>1.2</v>
      </c>
      <c r="J28" s="21">
        <f t="shared" si="3"/>
        <v>215.99999999999997</v>
      </c>
      <c r="K28" s="50" t="s">
        <v>258</v>
      </c>
      <c r="L28" s="138">
        <f t="shared" si="2"/>
        <v>2.11</v>
      </c>
      <c r="M28" s="135"/>
    </row>
    <row r="29" spans="1:13" ht="15" customHeight="1">
      <c r="A29" s="211"/>
      <c r="B29" s="145">
        <v>600</v>
      </c>
      <c r="C29" s="13" t="s">
        <v>460</v>
      </c>
      <c r="D29" s="54" t="s">
        <v>272</v>
      </c>
      <c r="E29" s="29">
        <v>97</v>
      </c>
      <c r="F29" s="54" t="s">
        <v>249</v>
      </c>
      <c r="G29" s="29">
        <v>30</v>
      </c>
      <c r="H29" s="29">
        <v>3</v>
      </c>
      <c r="I29" s="29">
        <v>1.2</v>
      </c>
      <c r="J29" s="21">
        <f t="shared" si="3"/>
        <v>107.99999999999999</v>
      </c>
      <c r="K29" s="50" t="s">
        <v>258</v>
      </c>
      <c r="L29" s="138">
        <f t="shared" si="2"/>
        <v>2.11</v>
      </c>
      <c r="M29" s="136"/>
    </row>
    <row r="30" spans="1:13" ht="14.4" customHeight="1">
      <c r="A30" s="237" t="s">
        <v>71</v>
      </c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9"/>
      <c r="M30" s="50"/>
    </row>
    <row r="31" spans="1:13" ht="43.95" customHeight="1">
      <c r="A31" s="53" t="s">
        <v>73</v>
      </c>
      <c r="B31" s="50">
        <v>1500</v>
      </c>
      <c r="C31" s="14" t="s">
        <v>74</v>
      </c>
      <c r="D31" s="244" t="s">
        <v>278</v>
      </c>
      <c r="E31" s="245"/>
      <c r="F31" s="246"/>
      <c r="G31" s="55">
        <v>7</v>
      </c>
      <c r="H31" s="55">
        <v>4.5</v>
      </c>
      <c r="I31" s="55">
        <v>3</v>
      </c>
      <c r="J31" s="21">
        <f>I31*H31*G31</f>
        <v>94.5</v>
      </c>
      <c r="K31" s="50" t="s">
        <v>258</v>
      </c>
      <c r="L31" s="138">
        <f>((B31*211)+(B31*211*2/3))/100000</f>
        <v>5.2750000000000004</v>
      </c>
      <c r="M31" s="97" t="s">
        <v>463</v>
      </c>
    </row>
    <row r="32" spans="1:13">
      <c r="A32" s="240" t="s">
        <v>77</v>
      </c>
      <c r="B32" s="241"/>
      <c r="C32" s="241"/>
      <c r="D32" s="241"/>
      <c r="E32" s="241"/>
      <c r="F32" s="241"/>
      <c r="G32" s="241"/>
      <c r="H32" s="241"/>
      <c r="I32" s="241"/>
      <c r="J32" s="241"/>
      <c r="K32" s="241"/>
      <c r="L32" s="242"/>
      <c r="M32" s="50"/>
    </row>
    <row r="33" spans="1:16" ht="15.6">
      <c r="A33" s="53" t="s">
        <v>78</v>
      </c>
      <c r="B33" s="50">
        <v>1670</v>
      </c>
      <c r="C33" s="13" t="s">
        <v>414</v>
      </c>
      <c r="D33" s="232" t="s">
        <v>277</v>
      </c>
      <c r="E33" s="232"/>
      <c r="F33" s="232"/>
      <c r="G33" s="29">
        <v>2</v>
      </c>
      <c r="H33" s="29">
        <v>1.2</v>
      </c>
      <c r="I33" s="29">
        <v>1.8</v>
      </c>
      <c r="J33" s="21">
        <f t="shared" ref="J33" si="4">I33*H33*G33</f>
        <v>4.32</v>
      </c>
      <c r="K33" s="93" t="s">
        <v>258</v>
      </c>
      <c r="L33" s="143">
        <f>((B33*211)+(B33*211*2/3))/100000</f>
        <v>5.8728333333333333</v>
      </c>
      <c r="M33" s="20" t="s">
        <v>464</v>
      </c>
      <c r="P33">
        <f>45*0.12</f>
        <v>5.3999999999999995</v>
      </c>
    </row>
    <row r="34" spans="1:16" ht="14.4" customHeight="1">
      <c r="A34" s="211" t="s">
        <v>79</v>
      </c>
      <c r="B34" s="127">
        <v>80</v>
      </c>
      <c r="C34" s="12" t="s">
        <v>89</v>
      </c>
      <c r="D34" s="232" t="s">
        <v>276</v>
      </c>
      <c r="E34" s="232"/>
      <c r="F34" s="232"/>
      <c r="G34" s="29">
        <v>1500</v>
      </c>
      <c r="H34" s="29">
        <v>3</v>
      </c>
      <c r="I34" s="29">
        <v>0.12</v>
      </c>
      <c r="J34" s="21">
        <f t="shared" ref="J34" si="5">I34*H34*G34</f>
        <v>540</v>
      </c>
      <c r="K34" s="50" t="s">
        <v>258</v>
      </c>
      <c r="L34" s="143">
        <f t="shared" ref="L34:L42" si="6">((B34*211)+(B34*211*2/3))/100000</f>
        <v>0.28133333333333338</v>
      </c>
      <c r="M34" s="140" t="s">
        <v>465</v>
      </c>
    </row>
    <row r="35" spans="1:16" ht="15" customHeight="1">
      <c r="A35" s="211"/>
      <c r="B35" s="145">
        <v>80</v>
      </c>
      <c r="C35" s="12" t="s">
        <v>91</v>
      </c>
      <c r="D35" s="243" t="s">
        <v>274</v>
      </c>
      <c r="E35" s="232"/>
      <c r="F35" s="232"/>
      <c r="G35" s="29">
        <v>10</v>
      </c>
      <c r="H35" s="29">
        <v>2</v>
      </c>
      <c r="I35" s="29">
        <v>4</v>
      </c>
      <c r="J35" s="21">
        <f>I35*H35*G35</f>
        <v>80</v>
      </c>
      <c r="K35" s="50" t="s">
        <v>258</v>
      </c>
      <c r="L35" s="143">
        <f t="shared" si="6"/>
        <v>0.28133333333333338</v>
      </c>
      <c r="M35" s="141"/>
    </row>
    <row r="36" spans="1:16" ht="15" customHeight="1">
      <c r="A36" s="211"/>
      <c r="B36" s="145">
        <v>80</v>
      </c>
      <c r="C36" s="12" t="s">
        <v>92</v>
      </c>
      <c r="D36" s="54" t="s">
        <v>259</v>
      </c>
      <c r="E36" s="12"/>
      <c r="F36" s="12"/>
      <c r="G36" s="29">
        <v>1300</v>
      </c>
      <c r="H36" s="29">
        <v>2.5</v>
      </c>
      <c r="I36" s="29">
        <v>1</v>
      </c>
      <c r="J36" s="21">
        <f>I36*H36*G36</f>
        <v>3250</v>
      </c>
      <c r="K36" s="50" t="s">
        <v>258</v>
      </c>
      <c r="L36" s="143">
        <f t="shared" si="6"/>
        <v>0.28133333333333338</v>
      </c>
      <c r="M36" s="141"/>
    </row>
    <row r="37" spans="1:16" ht="15" customHeight="1">
      <c r="A37" s="211"/>
      <c r="B37" s="145">
        <v>80</v>
      </c>
      <c r="C37" s="12" t="s">
        <v>93</v>
      </c>
      <c r="D37" s="54" t="s">
        <v>275</v>
      </c>
      <c r="E37" s="12"/>
      <c r="F37" s="12"/>
      <c r="G37" s="29">
        <v>750</v>
      </c>
      <c r="H37" s="29">
        <v>3</v>
      </c>
      <c r="I37" s="29">
        <v>0.2</v>
      </c>
      <c r="J37" s="21">
        <f>I37*H37*G37</f>
        <v>450.00000000000006</v>
      </c>
      <c r="K37" s="50" t="s">
        <v>258</v>
      </c>
      <c r="L37" s="143">
        <f t="shared" si="6"/>
        <v>0.28133333333333338</v>
      </c>
      <c r="M37" s="141"/>
    </row>
    <row r="38" spans="1:16" ht="15" customHeight="1">
      <c r="A38" s="211"/>
      <c r="B38" s="145">
        <v>80</v>
      </c>
      <c r="C38" s="12" t="s">
        <v>100</v>
      </c>
      <c r="D38" s="247" t="s">
        <v>273</v>
      </c>
      <c r="E38" s="248"/>
      <c r="F38" s="249"/>
      <c r="G38" s="29">
        <v>150</v>
      </c>
      <c r="H38" s="29">
        <v>0.45</v>
      </c>
      <c r="I38" s="29">
        <v>0.45</v>
      </c>
      <c r="J38" s="21">
        <f>I38*H38*G38</f>
        <v>30.375000000000004</v>
      </c>
      <c r="K38" s="50" t="s">
        <v>258</v>
      </c>
      <c r="L38" s="143">
        <f t="shared" si="6"/>
        <v>0.28133333333333338</v>
      </c>
      <c r="M38" s="142"/>
      <c r="O38">
        <f>3500/4</f>
        <v>875</v>
      </c>
    </row>
    <row r="39" spans="1:16" ht="15" customHeight="1">
      <c r="A39" s="211" t="s">
        <v>81</v>
      </c>
      <c r="B39" s="127">
        <v>650</v>
      </c>
      <c r="C39" s="28" t="s">
        <v>113</v>
      </c>
      <c r="D39" s="232" t="s">
        <v>279</v>
      </c>
      <c r="E39" s="232"/>
      <c r="F39" s="232"/>
      <c r="G39" s="29">
        <v>30</v>
      </c>
      <c r="H39" s="29">
        <v>1.2</v>
      </c>
      <c r="I39" s="29">
        <v>4</v>
      </c>
      <c r="J39" s="21">
        <f t="shared" ref="J39:J42" si="7">I39*H39*G39</f>
        <v>144</v>
      </c>
      <c r="K39" s="50" t="s">
        <v>258</v>
      </c>
      <c r="L39" s="143">
        <f t="shared" si="6"/>
        <v>2.2858333333333332</v>
      </c>
      <c r="M39" s="140" t="s">
        <v>466</v>
      </c>
    </row>
    <row r="40" spans="1:16" ht="15" customHeight="1">
      <c r="A40" s="211"/>
      <c r="B40" s="145">
        <v>650</v>
      </c>
      <c r="C40" s="28" t="s">
        <v>113</v>
      </c>
      <c r="D40" s="232" t="s">
        <v>280</v>
      </c>
      <c r="E40" s="232"/>
      <c r="F40" s="232"/>
      <c r="G40" s="29">
        <v>45</v>
      </c>
      <c r="H40" s="29">
        <f>I40/6+0.45</f>
        <v>1.45</v>
      </c>
      <c r="I40" s="29">
        <v>6</v>
      </c>
      <c r="J40" s="21">
        <f t="shared" si="7"/>
        <v>391.49999999999994</v>
      </c>
      <c r="K40" s="50" t="s">
        <v>258</v>
      </c>
      <c r="L40" s="143">
        <f t="shared" si="6"/>
        <v>2.2858333333333332</v>
      </c>
      <c r="M40" s="141"/>
    </row>
    <row r="41" spans="1:16" ht="15" customHeight="1">
      <c r="A41" s="211"/>
      <c r="B41" s="145">
        <v>650</v>
      </c>
      <c r="C41" s="28" t="s">
        <v>110</v>
      </c>
      <c r="D41" s="232" t="s">
        <v>281</v>
      </c>
      <c r="E41" s="232"/>
      <c r="F41" s="232"/>
      <c r="G41" s="29">
        <v>10</v>
      </c>
      <c r="H41" s="29">
        <v>2</v>
      </c>
      <c r="I41" s="29">
        <v>3</v>
      </c>
      <c r="J41" s="21">
        <f t="shared" si="7"/>
        <v>60</v>
      </c>
      <c r="K41" s="50" t="s">
        <v>258</v>
      </c>
      <c r="L41" s="143">
        <f t="shared" si="6"/>
        <v>2.2858333333333332</v>
      </c>
      <c r="M41" s="141"/>
    </row>
    <row r="42" spans="1:16" ht="15" customHeight="1">
      <c r="A42" s="233"/>
      <c r="B42" s="126">
        <v>650</v>
      </c>
      <c r="C42" s="28" t="s">
        <v>110</v>
      </c>
      <c r="D42" s="232" t="s">
        <v>282</v>
      </c>
      <c r="E42" s="232"/>
      <c r="F42" s="232"/>
      <c r="G42" s="29">
        <v>15</v>
      </c>
      <c r="H42" s="29">
        <v>3</v>
      </c>
      <c r="I42" s="29">
        <v>4</v>
      </c>
      <c r="J42" s="21">
        <f t="shared" si="7"/>
        <v>180</v>
      </c>
      <c r="K42" s="50" t="s">
        <v>258</v>
      </c>
      <c r="L42" s="143">
        <f t="shared" si="6"/>
        <v>2.2858333333333332</v>
      </c>
      <c r="M42" s="142"/>
    </row>
    <row r="43" spans="1:16">
      <c r="B43" s="10">
        <f>SUM(B10:B42)</f>
        <v>17640</v>
      </c>
      <c r="L43" s="64">
        <f>SUM(L10:L42)</f>
        <v>62.03400000000002</v>
      </c>
    </row>
    <row r="44" spans="1:16">
      <c r="B44" s="26">
        <f>B3*90</f>
        <v>17640</v>
      </c>
      <c r="L44" s="65">
        <f>E4/100000</f>
        <v>62.033999999999999</v>
      </c>
    </row>
  </sheetData>
  <mergeCells count="30">
    <mergeCell ref="A20:A29"/>
    <mergeCell ref="A34:A38"/>
    <mergeCell ref="A39:A42"/>
    <mergeCell ref="D7:F8"/>
    <mergeCell ref="G7:K7"/>
    <mergeCell ref="A18:L18"/>
    <mergeCell ref="A30:L30"/>
    <mergeCell ref="A32:L32"/>
    <mergeCell ref="A10:A17"/>
    <mergeCell ref="D35:F35"/>
    <mergeCell ref="D34:F34"/>
    <mergeCell ref="D31:F31"/>
    <mergeCell ref="D33:F33"/>
    <mergeCell ref="D38:F38"/>
    <mergeCell ref="D39:F39"/>
    <mergeCell ref="D40:F40"/>
    <mergeCell ref="M7:M8"/>
    <mergeCell ref="A9:L9"/>
    <mergeCell ref="A7:A8"/>
    <mergeCell ref="L7:L8"/>
    <mergeCell ref="B7:B8"/>
    <mergeCell ref="C7:C8"/>
    <mergeCell ref="D42:F42"/>
    <mergeCell ref="D41:F41"/>
    <mergeCell ref="G2:I2"/>
    <mergeCell ref="G3:I3"/>
    <mergeCell ref="G4:I4"/>
    <mergeCell ref="G5:I5"/>
    <mergeCell ref="G6:I6"/>
    <mergeCell ref="G19:K19"/>
  </mergeCells>
  <printOptions horizontalCentered="1"/>
  <pageMargins left="1.06" right="0.39" top="1.28" bottom="0.75" header="0.44" footer="0.3"/>
  <pageSetup paperSize="9" orientation="landscape" horizontalDpi="300" verticalDpi="300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6"/>
  <sheetViews>
    <sheetView topLeftCell="A13" workbookViewId="0">
      <selection activeCell="E25" sqref="E25"/>
    </sheetView>
  </sheetViews>
  <sheetFormatPr defaultRowHeight="14.4"/>
  <cols>
    <col min="1" max="1" width="17" style="9" customWidth="1"/>
    <col min="2" max="2" width="9.6640625" style="10" customWidth="1"/>
    <col min="3" max="3" width="24.5546875" customWidth="1"/>
    <col min="4" max="4" width="17" style="3" customWidth="1"/>
    <col min="5" max="5" width="13.44140625" style="3" customWidth="1"/>
    <col min="6" max="6" width="5" style="18" customWidth="1"/>
    <col min="7" max="8" width="4.5546875" style="18" customWidth="1"/>
    <col min="9" max="9" width="6.44140625" style="18" customWidth="1"/>
    <col min="10" max="10" width="5.109375" style="18" customWidth="1"/>
    <col min="11" max="11" width="8.88671875" style="59"/>
    <col min="12" max="12" width="22.6640625" bestFit="1" customWidth="1"/>
  </cols>
  <sheetData>
    <row r="1" spans="1:12">
      <c r="A1" s="19" t="s">
        <v>237</v>
      </c>
      <c r="B1" s="6"/>
      <c r="C1" s="16"/>
      <c r="D1" s="16" t="s">
        <v>146</v>
      </c>
      <c r="E1" s="16"/>
      <c r="F1" s="16"/>
      <c r="G1" s="16"/>
      <c r="H1" s="16"/>
      <c r="I1" s="16"/>
      <c r="J1" s="16"/>
      <c r="K1" s="63"/>
      <c r="L1" s="51"/>
    </row>
    <row r="2" spans="1:12">
      <c r="A2" s="1"/>
      <c r="B2" s="6"/>
      <c r="C2" s="2"/>
      <c r="D2" s="2" t="s">
        <v>0</v>
      </c>
      <c r="E2" s="19">
        <f>B3*211*90</f>
        <v>3760020</v>
      </c>
      <c r="F2" s="204"/>
      <c r="G2" s="204"/>
      <c r="H2" s="204"/>
      <c r="I2" s="56"/>
      <c r="J2" s="56"/>
      <c r="K2" s="63"/>
      <c r="L2" s="51"/>
    </row>
    <row r="3" spans="1:12">
      <c r="A3" s="19" t="s">
        <v>1</v>
      </c>
      <c r="B3" s="6">
        <v>198</v>
      </c>
      <c r="C3" s="2"/>
      <c r="D3" s="2" t="s">
        <v>2</v>
      </c>
      <c r="E3" s="19">
        <f>E2*2/3</f>
        <v>2506680</v>
      </c>
      <c r="F3" s="205"/>
      <c r="G3" s="205"/>
      <c r="H3" s="205"/>
      <c r="I3" s="57"/>
      <c r="J3" s="57"/>
      <c r="K3" s="63"/>
      <c r="L3" s="51"/>
    </row>
    <row r="4" spans="1:12">
      <c r="A4" s="7"/>
      <c r="B4" s="5"/>
      <c r="C4" s="2"/>
      <c r="D4" s="2" t="s">
        <v>3</v>
      </c>
      <c r="E4" s="19">
        <f>SUM(E2:E3)</f>
        <v>6266700</v>
      </c>
      <c r="F4" s="205"/>
      <c r="G4" s="205"/>
      <c r="H4" s="205"/>
      <c r="I4" s="57"/>
      <c r="J4" s="57"/>
      <c r="K4" s="63"/>
      <c r="L4" s="51"/>
    </row>
    <row r="5" spans="1:12">
      <c r="A5" s="7"/>
      <c r="B5" s="5"/>
      <c r="C5" s="2"/>
      <c r="D5" s="2" t="s">
        <v>4</v>
      </c>
      <c r="E5" s="19">
        <f>E4*0.06</f>
        <v>376002</v>
      </c>
      <c r="F5" s="205"/>
      <c r="G5" s="205"/>
      <c r="H5" s="205"/>
      <c r="I5" s="57"/>
      <c r="J5" s="57"/>
      <c r="K5" s="63"/>
      <c r="L5" s="51"/>
    </row>
    <row r="6" spans="1:12">
      <c r="A6" s="7"/>
      <c r="B6" s="5"/>
      <c r="C6" s="2"/>
      <c r="D6" s="2" t="s">
        <v>5</v>
      </c>
      <c r="E6" s="19">
        <f>E5+E4</f>
        <v>6642702</v>
      </c>
      <c r="F6" s="206"/>
      <c r="G6" s="206"/>
      <c r="H6" s="206"/>
      <c r="I6" s="58"/>
      <c r="J6" s="58"/>
      <c r="K6" s="63"/>
      <c r="L6" s="51"/>
    </row>
    <row r="7" spans="1:12" ht="21" customHeight="1">
      <c r="A7" s="187" t="s">
        <v>18</v>
      </c>
      <c r="B7" s="186" t="s">
        <v>14</v>
      </c>
      <c r="C7" s="184" t="s">
        <v>147</v>
      </c>
      <c r="D7" s="193" t="s">
        <v>7</v>
      </c>
      <c r="E7" s="194"/>
      <c r="F7" s="234" t="s">
        <v>153</v>
      </c>
      <c r="G7" s="235"/>
      <c r="H7" s="235"/>
      <c r="I7" s="235"/>
      <c r="J7" s="236"/>
      <c r="K7" s="202" t="s">
        <v>144</v>
      </c>
      <c r="L7" s="200" t="s">
        <v>117</v>
      </c>
    </row>
    <row r="8" spans="1:12" ht="27" customHeight="1">
      <c r="A8" s="187"/>
      <c r="B8" s="186"/>
      <c r="C8" s="185"/>
      <c r="D8" s="195"/>
      <c r="E8" s="196"/>
      <c r="F8" s="52" t="s">
        <v>148</v>
      </c>
      <c r="G8" s="52" t="s">
        <v>149</v>
      </c>
      <c r="H8" s="52" t="s">
        <v>150</v>
      </c>
      <c r="I8" s="52" t="s">
        <v>151</v>
      </c>
      <c r="J8" s="52" t="s">
        <v>152</v>
      </c>
      <c r="K8" s="203"/>
      <c r="L8" s="201"/>
    </row>
    <row r="9" spans="1:12" ht="14.4" customHeight="1">
      <c r="A9" s="189" t="s">
        <v>40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60"/>
    </row>
    <row r="10" spans="1:12" ht="28.8">
      <c r="A10" s="66" t="s">
        <v>25</v>
      </c>
      <c r="B10" s="50">
        <v>2005</v>
      </c>
      <c r="C10" s="15" t="s">
        <v>11</v>
      </c>
      <c r="D10" s="259" t="s">
        <v>307</v>
      </c>
      <c r="E10" s="259"/>
      <c r="F10" s="82">
        <v>3</v>
      </c>
      <c r="G10" s="21">
        <v>3</v>
      </c>
      <c r="H10" s="21">
        <v>1.8</v>
      </c>
      <c r="I10" s="21">
        <f>H10*G10*F10</f>
        <v>16.200000000000003</v>
      </c>
      <c r="J10" s="93" t="s">
        <v>258</v>
      </c>
      <c r="K10" s="138">
        <f>((B10*211)+(B10*211*2/3))/100000</f>
        <v>7.0509166666666676</v>
      </c>
      <c r="L10" s="94" t="s">
        <v>511</v>
      </c>
    </row>
    <row r="11" spans="1:12" ht="15.6">
      <c r="A11" s="66" t="s">
        <v>13</v>
      </c>
      <c r="B11" s="50">
        <v>200</v>
      </c>
      <c r="C11" s="12" t="s">
        <v>9</v>
      </c>
      <c r="D11" s="222" t="s">
        <v>318</v>
      </c>
      <c r="E11" s="224"/>
      <c r="F11" s="250" t="s">
        <v>474</v>
      </c>
      <c r="G11" s="260"/>
      <c r="H11" s="260"/>
      <c r="I11" s="260"/>
      <c r="J11" s="251"/>
      <c r="K11" s="138">
        <f t="shared" ref="K11:K18" si="0">((B11*211)+(B11*211*2/3))/100000</f>
        <v>0.70333333333333325</v>
      </c>
      <c r="L11" s="95" t="s">
        <v>512</v>
      </c>
    </row>
    <row r="12" spans="1:12" ht="15.75" customHeight="1">
      <c r="A12" s="190" t="s">
        <v>8</v>
      </c>
      <c r="B12" s="127">
        <v>650</v>
      </c>
      <c r="C12" s="15" t="s">
        <v>38</v>
      </c>
      <c r="D12" s="54" t="s">
        <v>284</v>
      </c>
      <c r="E12" s="54" t="s">
        <v>289</v>
      </c>
      <c r="F12" s="197" t="s">
        <v>304</v>
      </c>
      <c r="G12" s="198"/>
      <c r="H12" s="198"/>
      <c r="I12" s="198"/>
      <c r="J12" s="199"/>
      <c r="K12" s="138">
        <f t="shared" si="0"/>
        <v>2.2858333333333332</v>
      </c>
      <c r="L12" s="140" t="s">
        <v>513</v>
      </c>
    </row>
    <row r="13" spans="1:12" ht="15" customHeight="1">
      <c r="A13" s="191"/>
      <c r="B13" s="127">
        <v>650</v>
      </c>
      <c r="C13" s="178" t="s">
        <v>38</v>
      </c>
      <c r="D13" s="181" t="s">
        <v>288</v>
      </c>
      <c r="E13" s="181" t="s">
        <v>300</v>
      </c>
      <c r="F13" s="256" t="s">
        <v>304</v>
      </c>
      <c r="G13" s="257"/>
      <c r="H13" s="257"/>
      <c r="I13" s="257"/>
      <c r="J13" s="258"/>
      <c r="K13" s="138">
        <f t="shared" si="0"/>
        <v>2.2858333333333332</v>
      </c>
      <c r="L13" s="141"/>
    </row>
    <row r="14" spans="1:12" ht="15" customHeight="1">
      <c r="A14" s="191"/>
      <c r="B14" s="127">
        <v>650</v>
      </c>
      <c r="C14" s="178" t="s">
        <v>38</v>
      </c>
      <c r="D14" s="179" t="s">
        <v>295</v>
      </c>
      <c r="E14" s="181" t="s">
        <v>301</v>
      </c>
      <c r="F14" s="256" t="s">
        <v>305</v>
      </c>
      <c r="G14" s="257"/>
      <c r="H14" s="257"/>
      <c r="I14" s="257"/>
      <c r="J14" s="258"/>
      <c r="K14" s="138">
        <f t="shared" si="0"/>
        <v>2.2858333333333332</v>
      </c>
      <c r="L14" s="141"/>
    </row>
    <row r="15" spans="1:12" ht="15" customHeight="1">
      <c r="A15" s="191"/>
      <c r="B15" s="127">
        <v>650</v>
      </c>
      <c r="C15" s="15" t="s">
        <v>38</v>
      </c>
      <c r="D15" s="54" t="s">
        <v>296</v>
      </c>
      <c r="E15" s="54" t="s">
        <v>302</v>
      </c>
      <c r="F15" s="197" t="s">
        <v>305</v>
      </c>
      <c r="G15" s="198"/>
      <c r="H15" s="198"/>
      <c r="I15" s="198"/>
      <c r="J15" s="199"/>
      <c r="K15" s="138">
        <f t="shared" si="0"/>
        <v>2.2858333333333332</v>
      </c>
      <c r="L15" s="141"/>
    </row>
    <row r="16" spans="1:12" ht="15" customHeight="1">
      <c r="A16" s="191"/>
      <c r="B16" s="127">
        <v>650</v>
      </c>
      <c r="C16" s="155" t="s">
        <v>38</v>
      </c>
      <c r="D16" s="157" t="s">
        <v>297</v>
      </c>
      <c r="E16" s="157" t="s">
        <v>303</v>
      </c>
      <c r="F16" s="252" t="s">
        <v>304</v>
      </c>
      <c r="G16" s="253"/>
      <c r="H16" s="253"/>
      <c r="I16" s="253"/>
      <c r="J16" s="254"/>
      <c r="K16" s="138">
        <f t="shared" si="0"/>
        <v>2.2858333333333332</v>
      </c>
      <c r="L16" s="141"/>
    </row>
    <row r="17" spans="1:12" ht="15" customHeight="1">
      <c r="A17" s="191"/>
      <c r="B17" s="127">
        <v>650</v>
      </c>
      <c r="C17" s="15" t="s">
        <v>38</v>
      </c>
      <c r="D17" s="54" t="s">
        <v>298</v>
      </c>
      <c r="E17" s="54" t="s">
        <v>289</v>
      </c>
      <c r="F17" s="197" t="s">
        <v>306</v>
      </c>
      <c r="G17" s="198"/>
      <c r="H17" s="198"/>
      <c r="I17" s="198"/>
      <c r="J17" s="199"/>
      <c r="K17" s="138">
        <f t="shared" si="0"/>
        <v>2.2858333333333332</v>
      </c>
      <c r="L17" s="141"/>
    </row>
    <row r="18" spans="1:12" ht="15" customHeight="1">
      <c r="A18" s="191"/>
      <c r="B18" s="127">
        <v>650</v>
      </c>
      <c r="C18" s="15" t="s">
        <v>38</v>
      </c>
      <c r="D18" s="54" t="s">
        <v>299</v>
      </c>
      <c r="E18" s="54" t="s">
        <v>303</v>
      </c>
      <c r="F18" s="197" t="s">
        <v>304</v>
      </c>
      <c r="G18" s="198"/>
      <c r="H18" s="198"/>
      <c r="I18" s="198"/>
      <c r="J18" s="199"/>
      <c r="K18" s="138">
        <f t="shared" si="0"/>
        <v>2.2858333333333332</v>
      </c>
      <c r="L18" s="142"/>
    </row>
    <row r="19" spans="1:12" ht="14.4" customHeight="1">
      <c r="A19" s="237" t="s">
        <v>39</v>
      </c>
      <c r="B19" s="238"/>
      <c r="C19" s="238"/>
      <c r="D19" s="238"/>
      <c r="E19" s="238"/>
      <c r="F19" s="238"/>
      <c r="G19" s="238"/>
      <c r="H19" s="238"/>
      <c r="I19" s="238"/>
      <c r="J19" s="238"/>
      <c r="K19" s="239"/>
      <c r="L19" s="61"/>
    </row>
    <row r="20" spans="1:12" ht="43.2">
      <c r="A20" s="151" t="s">
        <v>41</v>
      </c>
      <c r="B20" s="152">
        <v>1000</v>
      </c>
      <c r="C20" s="28" t="s">
        <v>48</v>
      </c>
      <c r="D20" s="15" t="s">
        <v>284</v>
      </c>
      <c r="E20" s="155" t="s">
        <v>289</v>
      </c>
      <c r="F20" s="150"/>
      <c r="G20" s="150"/>
      <c r="H20" s="150"/>
      <c r="I20" s="150"/>
      <c r="J20" s="150"/>
      <c r="K20" s="138">
        <f>((B20*211)+(B20*211*2/3))/100000</f>
        <v>3.5166666666666662</v>
      </c>
      <c r="L20" s="61"/>
    </row>
    <row r="21" spans="1:12" ht="28.8">
      <c r="A21" s="25" t="s">
        <v>44</v>
      </c>
      <c r="B21" s="50">
        <v>900</v>
      </c>
      <c r="C21" s="14" t="s">
        <v>62</v>
      </c>
      <c r="D21" s="244" t="s">
        <v>310</v>
      </c>
      <c r="E21" s="246"/>
      <c r="F21" s="255">
        <v>20</v>
      </c>
      <c r="G21" s="223"/>
      <c r="H21" s="223"/>
      <c r="I21" s="224"/>
      <c r="J21" s="93" t="s">
        <v>470</v>
      </c>
      <c r="K21" s="138">
        <f>((B21*211)+(B21*211*2/3))/100000</f>
        <v>3.165</v>
      </c>
      <c r="L21" s="117" t="s">
        <v>514</v>
      </c>
    </row>
    <row r="22" spans="1:12" ht="28.8">
      <c r="A22" s="68" t="s">
        <v>45</v>
      </c>
      <c r="B22" s="50">
        <v>1500</v>
      </c>
      <c r="C22" s="12" t="s">
        <v>67</v>
      </c>
      <c r="D22" s="222" t="s">
        <v>318</v>
      </c>
      <c r="E22" s="224"/>
      <c r="F22" s="91">
        <v>3</v>
      </c>
      <c r="G22" s="21">
        <v>1.8</v>
      </c>
      <c r="H22" s="21"/>
      <c r="I22" s="21">
        <f>G22*F22</f>
        <v>5.4</v>
      </c>
      <c r="J22" s="93" t="s">
        <v>467</v>
      </c>
      <c r="K22" s="138">
        <f t="shared" ref="K22:K27" si="1">((B22*211)+(B22*211*2/3))/100000</f>
        <v>5.2750000000000004</v>
      </c>
      <c r="L22" s="117" t="s">
        <v>515</v>
      </c>
    </row>
    <row r="23" spans="1:12" ht="14.4" customHeight="1">
      <c r="A23" s="211" t="s">
        <v>46</v>
      </c>
      <c r="B23" s="127">
        <v>690</v>
      </c>
      <c r="C23" s="182" t="s">
        <v>154</v>
      </c>
      <c r="D23" s="181" t="s">
        <v>284</v>
      </c>
      <c r="E23" s="181" t="s">
        <v>289</v>
      </c>
      <c r="F23" s="256" t="s">
        <v>292</v>
      </c>
      <c r="G23" s="257"/>
      <c r="H23" s="257"/>
      <c r="I23" s="257"/>
      <c r="J23" s="258"/>
      <c r="K23" s="138">
        <f t="shared" si="1"/>
        <v>2.4264999999999999</v>
      </c>
      <c r="L23" s="140" t="s">
        <v>516</v>
      </c>
    </row>
    <row r="24" spans="1:12" ht="15" customHeight="1">
      <c r="A24" s="211"/>
      <c r="B24" s="127">
        <v>690</v>
      </c>
      <c r="C24" s="182" t="s">
        <v>154</v>
      </c>
      <c r="D24" s="181" t="s">
        <v>285</v>
      </c>
      <c r="E24" s="181" t="s">
        <v>290</v>
      </c>
      <c r="F24" s="256" t="s">
        <v>292</v>
      </c>
      <c r="G24" s="257"/>
      <c r="H24" s="257"/>
      <c r="I24" s="257"/>
      <c r="J24" s="258"/>
      <c r="K24" s="138">
        <f t="shared" si="1"/>
        <v>2.4264999999999999</v>
      </c>
      <c r="L24" s="141"/>
    </row>
    <row r="25" spans="1:12" ht="15" customHeight="1">
      <c r="A25" s="211"/>
      <c r="B25" s="127">
        <v>690</v>
      </c>
      <c r="C25" s="182" t="s">
        <v>154</v>
      </c>
      <c r="D25" s="181" t="s">
        <v>286</v>
      </c>
      <c r="E25" s="181" t="s">
        <v>289</v>
      </c>
      <c r="F25" s="256" t="s">
        <v>293</v>
      </c>
      <c r="G25" s="257"/>
      <c r="H25" s="257"/>
      <c r="I25" s="257"/>
      <c r="J25" s="258"/>
      <c r="K25" s="138">
        <f t="shared" si="1"/>
        <v>2.4264999999999999</v>
      </c>
      <c r="L25" s="141"/>
    </row>
    <row r="26" spans="1:12" ht="15" customHeight="1">
      <c r="A26" s="211"/>
      <c r="B26" s="127">
        <v>690</v>
      </c>
      <c r="C26" s="182" t="s">
        <v>154</v>
      </c>
      <c r="D26" s="181" t="s">
        <v>287</v>
      </c>
      <c r="E26" s="181" t="s">
        <v>291</v>
      </c>
      <c r="F26" s="256" t="s">
        <v>294</v>
      </c>
      <c r="G26" s="257"/>
      <c r="H26" s="257"/>
      <c r="I26" s="257"/>
      <c r="J26" s="258"/>
      <c r="K26" s="138">
        <f t="shared" si="1"/>
        <v>2.4264999999999999</v>
      </c>
      <c r="L26" s="141"/>
    </row>
    <row r="27" spans="1:12" ht="15" customHeight="1">
      <c r="A27" s="211"/>
      <c r="B27" s="127">
        <v>693</v>
      </c>
      <c r="C27" s="182" t="s">
        <v>154</v>
      </c>
      <c r="D27" s="181" t="s">
        <v>288</v>
      </c>
      <c r="E27" s="179" t="s">
        <v>300</v>
      </c>
      <c r="F27" s="256" t="s">
        <v>294</v>
      </c>
      <c r="G27" s="257"/>
      <c r="H27" s="257"/>
      <c r="I27" s="257"/>
      <c r="J27" s="258"/>
      <c r="K27" s="138">
        <f t="shared" si="1"/>
        <v>2.4370500000000002</v>
      </c>
      <c r="L27" s="142"/>
    </row>
    <row r="28" spans="1:12" ht="14.4" customHeight="1">
      <c r="A28" s="237" t="s">
        <v>71</v>
      </c>
      <c r="B28" s="238"/>
      <c r="C28" s="238"/>
      <c r="D28" s="238"/>
      <c r="E28" s="238"/>
      <c r="F28" s="238"/>
      <c r="G28" s="238"/>
      <c r="H28" s="238"/>
      <c r="I28" s="238"/>
      <c r="J28" s="238"/>
      <c r="K28" s="239"/>
      <c r="L28" s="20"/>
    </row>
    <row r="29" spans="1:12" ht="57.6">
      <c r="A29" s="68" t="s">
        <v>73</v>
      </c>
      <c r="B29" s="50">
        <v>1600</v>
      </c>
      <c r="C29" s="14" t="s">
        <v>74</v>
      </c>
      <c r="D29" s="222" t="s">
        <v>318</v>
      </c>
      <c r="E29" s="224"/>
      <c r="F29" s="91">
        <v>6</v>
      </c>
      <c r="G29" s="21">
        <v>4.5</v>
      </c>
      <c r="H29" s="21"/>
      <c r="I29" s="21">
        <f>G29*F29</f>
        <v>27</v>
      </c>
      <c r="J29" s="93" t="s">
        <v>467</v>
      </c>
      <c r="K29" s="138">
        <f>((B29*211)+(B29*211*2/3))/100000</f>
        <v>5.626666666666666</v>
      </c>
      <c r="L29" s="117" t="s">
        <v>517</v>
      </c>
    </row>
    <row r="30" spans="1:12">
      <c r="A30" s="240" t="s">
        <v>77</v>
      </c>
      <c r="B30" s="241"/>
      <c r="C30" s="241"/>
      <c r="D30" s="241"/>
      <c r="E30" s="241"/>
      <c r="F30" s="241"/>
      <c r="G30" s="241"/>
      <c r="H30" s="241"/>
      <c r="I30" s="241"/>
      <c r="J30" s="241"/>
      <c r="K30" s="242"/>
      <c r="L30" s="20"/>
    </row>
    <row r="31" spans="1:12" ht="15.6">
      <c r="A31" s="68" t="s">
        <v>78</v>
      </c>
      <c r="B31" s="50">
        <v>1112</v>
      </c>
      <c r="C31" s="13" t="s">
        <v>414</v>
      </c>
      <c r="D31" s="250" t="s">
        <v>317</v>
      </c>
      <c r="E31" s="251"/>
      <c r="F31" s="91">
        <v>2</v>
      </c>
      <c r="G31" s="21">
        <v>1.2</v>
      </c>
      <c r="H31" s="21"/>
      <c r="I31" s="21">
        <f>G31*F31</f>
        <v>2.4</v>
      </c>
      <c r="J31" s="93" t="s">
        <v>467</v>
      </c>
      <c r="K31" s="138">
        <f>((B31*211)+(B31*211*2/3))/100000</f>
        <v>3.9105333333333339</v>
      </c>
      <c r="L31" s="117" t="s">
        <v>518</v>
      </c>
    </row>
    <row r="32" spans="1:12" ht="14.4" customHeight="1">
      <c r="A32" s="211" t="s">
        <v>79</v>
      </c>
      <c r="B32" s="126">
        <v>250</v>
      </c>
      <c r="C32" s="12" t="s">
        <v>89</v>
      </c>
      <c r="D32" s="232" t="s">
        <v>308</v>
      </c>
      <c r="E32" s="232"/>
      <c r="F32" s="91">
        <v>500</v>
      </c>
      <c r="G32" s="21">
        <v>3</v>
      </c>
      <c r="H32" s="21">
        <v>0.1</v>
      </c>
      <c r="I32" s="21">
        <f>H32*G32*F32</f>
        <v>150.00000000000003</v>
      </c>
      <c r="J32" s="93" t="s">
        <v>258</v>
      </c>
      <c r="K32" s="138">
        <f t="shared" ref="K32:K34" si="2">((B32*211)+(B32*211*2/3))/100000</f>
        <v>0.87916666666666654</v>
      </c>
      <c r="L32" s="94" t="s">
        <v>519</v>
      </c>
    </row>
    <row r="33" spans="1:12" ht="15" customHeight="1">
      <c r="A33" s="211"/>
      <c r="B33" s="126">
        <v>250</v>
      </c>
      <c r="C33" s="12" t="s">
        <v>89</v>
      </c>
      <c r="D33" s="232" t="s">
        <v>309</v>
      </c>
      <c r="E33" s="232"/>
      <c r="F33" s="91">
        <v>60</v>
      </c>
      <c r="G33" s="21">
        <v>2.5</v>
      </c>
      <c r="H33" s="21">
        <v>0.1</v>
      </c>
      <c r="I33" s="21">
        <f t="shared" ref="I33:I34" si="3">H33*G33*F33</f>
        <v>15</v>
      </c>
      <c r="J33" s="93" t="s">
        <v>258</v>
      </c>
      <c r="K33" s="138">
        <f t="shared" si="2"/>
        <v>0.87916666666666654</v>
      </c>
      <c r="L33" s="94"/>
    </row>
    <row r="34" spans="1:12" ht="28.95" customHeight="1">
      <c r="A34" s="68" t="s">
        <v>81</v>
      </c>
      <c r="B34" s="50">
        <v>1000</v>
      </c>
      <c r="C34" s="28" t="s">
        <v>113</v>
      </c>
      <c r="D34" s="222" t="s">
        <v>318</v>
      </c>
      <c r="E34" s="224"/>
      <c r="F34" s="91">
        <v>20</v>
      </c>
      <c r="G34" s="21">
        <f>H34/6+0.45</f>
        <v>0.95</v>
      </c>
      <c r="H34" s="21">
        <v>3</v>
      </c>
      <c r="I34" s="21">
        <f t="shared" si="3"/>
        <v>56.999999999999993</v>
      </c>
      <c r="J34" s="93" t="s">
        <v>258</v>
      </c>
      <c r="K34" s="138">
        <f t="shared" si="2"/>
        <v>3.5166666666666662</v>
      </c>
      <c r="L34" s="117" t="s">
        <v>520</v>
      </c>
    </row>
    <row r="35" spans="1:12">
      <c r="B35" s="10">
        <f>SUM(B10:B34)</f>
        <v>17820</v>
      </c>
      <c r="K35" s="59">
        <f>SUM(K10:K34)</f>
        <v>62.666999999999987</v>
      </c>
    </row>
    <row r="36" spans="1:12">
      <c r="B36" s="26">
        <f>B3*90</f>
        <v>17820</v>
      </c>
      <c r="K36" s="65">
        <f>E4/100000</f>
        <v>62.667000000000002</v>
      </c>
    </row>
  </sheetData>
  <mergeCells count="42">
    <mergeCell ref="F26:J26"/>
    <mergeCell ref="F27:J27"/>
    <mergeCell ref="A30:K30"/>
    <mergeCell ref="F23:J23"/>
    <mergeCell ref="F24:J24"/>
    <mergeCell ref="L7:L8"/>
    <mergeCell ref="A12:A18"/>
    <mergeCell ref="D10:E10"/>
    <mergeCell ref="K7:K8"/>
    <mergeCell ref="A9:K9"/>
    <mergeCell ref="A7:A8"/>
    <mergeCell ref="B7:B8"/>
    <mergeCell ref="C7:C8"/>
    <mergeCell ref="D7:E8"/>
    <mergeCell ref="D11:E11"/>
    <mergeCell ref="F12:J12"/>
    <mergeCell ref="F13:J13"/>
    <mergeCell ref="F14:J14"/>
    <mergeCell ref="F15:J15"/>
    <mergeCell ref="F11:J11"/>
    <mergeCell ref="F7:J7"/>
    <mergeCell ref="D34:E34"/>
    <mergeCell ref="D29:E29"/>
    <mergeCell ref="D22:E22"/>
    <mergeCell ref="D31:E31"/>
    <mergeCell ref="F16:J16"/>
    <mergeCell ref="F17:J17"/>
    <mergeCell ref="F18:J18"/>
    <mergeCell ref="F21:I21"/>
    <mergeCell ref="A19:K19"/>
    <mergeCell ref="D21:E21"/>
    <mergeCell ref="A23:A27"/>
    <mergeCell ref="A28:K28"/>
    <mergeCell ref="A32:A33"/>
    <mergeCell ref="D32:E32"/>
    <mergeCell ref="D33:E33"/>
    <mergeCell ref="F25:J25"/>
    <mergeCell ref="F2:H2"/>
    <mergeCell ref="F3:H3"/>
    <mergeCell ref="F4:H4"/>
    <mergeCell ref="F5:H5"/>
    <mergeCell ref="F6:H6"/>
  </mergeCells>
  <printOptions horizontalCentered="1"/>
  <pageMargins left="0.99" right="0.7" top="1.0104166666666667" bottom="0.44" header="0.23" footer="0.3"/>
  <pageSetup paperSize="9" orientation="landscape" horizontalDpi="300" verticalDpi="300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6"/>
  <sheetViews>
    <sheetView workbookViewId="0">
      <selection activeCell="E13" sqref="E13"/>
    </sheetView>
  </sheetViews>
  <sheetFormatPr defaultRowHeight="14.4"/>
  <cols>
    <col min="1" max="1" width="17" style="9" customWidth="1"/>
    <col min="2" max="2" width="9.6640625" style="10" customWidth="1"/>
    <col min="3" max="3" width="24.5546875" customWidth="1"/>
    <col min="4" max="4" width="25.88671875" style="3" customWidth="1"/>
    <col min="5" max="5" width="9.33203125" style="3" customWidth="1"/>
    <col min="6" max="6" width="5" style="18" customWidth="1"/>
    <col min="7" max="8" width="4.5546875" style="18" customWidth="1"/>
    <col min="9" max="9" width="6.44140625" style="18" customWidth="1"/>
    <col min="10" max="10" width="5.109375" style="18" customWidth="1"/>
    <col min="11" max="11" width="8.88671875" style="59" customWidth="1"/>
    <col min="12" max="12" width="22.6640625" customWidth="1"/>
  </cols>
  <sheetData>
    <row r="1" spans="1:14">
      <c r="A1" s="19" t="s">
        <v>238</v>
      </c>
      <c r="B1" s="6"/>
      <c r="C1" s="16"/>
      <c r="D1" s="16" t="s">
        <v>146</v>
      </c>
      <c r="E1" s="16"/>
      <c r="F1" s="16"/>
      <c r="G1" s="16"/>
      <c r="H1" s="16"/>
      <c r="I1" s="16"/>
      <c r="J1" s="16"/>
      <c r="K1" s="63"/>
      <c r="L1" s="51"/>
    </row>
    <row r="2" spans="1:14">
      <c r="A2" s="1"/>
      <c r="B2" s="6"/>
      <c r="C2" s="2"/>
      <c r="D2" s="2" t="s">
        <v>0</v>
      </c>
      <c r="E2" s="19">
        <f>B3*211*90</f>
        <v>2373750</v>
      </c>
      <c r="F2" s="204"/>
      <c r="G2" s="204"/>
      <c r="H2" s="204"/>
      <c r="I2" s="56"/>
      <c r="J2" s="56"/>
      <c r="K2" s="63"/>
      <c r="L2" s="51"/>
    </row>
    <row r="3" spans="1:14">
      <c r="A3" s="19" t="s">
        <v>1</v>
      </c>
      <c r="B3" s="6">
        <v>125</v>
      </c>
      <c r="C3" s="2"/>
      <c r="D3" s="2" t="s">
        <v>2</v>
      </c>
      <c r="E3" s="19">
        <f>E2*2/3</f>
        <v>1582500</v>
      </c>
      <c r="F3" s="205"/>
      <c r="G3" s="205"/>
      <c r="H3" s="205"/>
      <c r="I3" s="57"/>
      <c r="J3" s="57"/>
      <c r="K3" s="63"/>
      <c r="L3" s="51"/>
    </row>
    <row r="4" spans="1:14">
      <c r="A4" s="7"/>
      <c r="B4" s="5"/>
      <c r="C4" s="2"/>
      <c r="D4" s="2" t="s">
        <v>3</v>
      </c>
      <c r="E4" s="19">
        <f>SUM(E2:E3)</f>
        <v>3956250</v>
      </c>
      <c r="F4" s="205"/>
      <c r="G4" s="205"/>
      <c r="H4" s="205"/>
      <c r="I4" s="57"/>
      <c r="J4" s="57"/>
      <c r="K4" s="63"/>
      <c r="L4" s="51"/>
    </row>
    <row r="5" spans="1:14">
      <c r="A5" s="7"/>
      <c r="B5" s="5"/>
      <c r="C5" s="2"/>
      <c r="D5" s="2" t="s">
        <v>4</v>
      </c>
      <c r="E5" s="19">
        <f>E4*0.06</f>
        <v>237375</v>
      </c>
      <c r="F5" s="205"/>
      <c r="G5" s="205"/>
      <c r="H5" s="205"/>
      <c r="I5" s="57"/>
      <c r="J5" s="57"/>
      <c r="K5" s="63"/>
      <c r="L5" s="51"/>
    </row>
    <row r="6" spans="1:14">
      <c r="A6" s="7"/>
      <c r="B6" s="5"/>
      <c r="C6" s="2"/>
      <c r="D6" s="2" t="s">
        <v>5</v>
      </c>
      <c r="E6" s="19">
        <f>E5+E4</f>
        <v>4193625</v>
      </c>
      <c r="F6" s="206"/>
      <c r="G6" s="206"/>
      <c r="H6" s="206"/>
      <c r="I6" s="58"/>
      <c r="J6" s="58"/>
      <c r="K6" s="63"/>
      <c r="L6" s="51"/>
    </row>
    <row r="7" spans="1:14" ht="21" customHeight="1">
      <c r="A7" s="187" t="s">
        <v>18</v>
      </c>
      <c r="B7" s="186" t="s">
        <v>14</v>
      </c>
      <c r="C7" s="184" t="s">
        <v>147</v>
      </c>
      <c r="D7" s="193" t="s">
        <v>7</v>
      </c>
      <c r="E7" s="194"/>
      <c r="F7" s="234" t="s">
        <v>153</v>
      </c>
      <c r="G7" s="235"/>
      <c r="H7" s="235"/>
      <c r="I7" s="235"/>
      <c r="J7" s="236"/>
      <c r="K7" s="202" t="s">
        <v>144</v>
      </c>
      <c r="L7" s="200" t="s">
        <v>117</v>
      </c>
    </row>
    <row r="8" spans="1:14" ht="27" customHeight="1">
      <c r="A8" s="187"/>
      <c r="B8" s="186"/>
      <c r="C8" s="185"/>
      <c r="D8" s="195"/>
      <c r="E8" s="196"/>
      <c r="F8" s="52" t="s">
        <v>148</v>
      </c>
      <c r="G8" s="52" t="s">
        <v>149</v>
      </c>
      <c r="H8" s="52" t="s">
        <v>150</v>
      </c>
      <c r="I8" s="52" t="s">
        <v>151</v>
      </c>
      <c r="J8" s="52" t="s">
        <v>152</v>
      </c>
      <c r="K8" s="203"/>
      <c r="L8" s="201"/>
    </row>
    <row r="9" spans="1:14" ht="14.4" customHeight="1">
      <c r="A9" s="189" t="s">
        <v>40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60"/>
    </row>
    <row r="10" spans="1:14" ht="14.4" customHeight="1">
      <c r="A10" s="75" t="s">
        <v>25</v>
      </c>
      <c r="B10" s="50">
        <v>2750</v>
      </c>
      <c r="C10" s="24" t="s">
        <v>11</v>
      </c>
      <c r="D10" s="272" t="s">
        <v>436</v>
      </c>
      <c r="E10" s="273"/>
      <c r="F10" s="116">
        <v>1.2</v>
      </c>
      <c r="G10" s="21">
        <v>1.2</v>
      </c>
      <c r="H10" s="21">
        <v>1</v>
      </c>
      <c r="I10" s="21">
        <f>H10*G10*F10</f>
        <v>1.44</v>
      </c>
      <c r="J10" s="79" t="s">
        <v>258</v>
      </c>
      <c r="K10" s="143">
        <f>((B10*211)+(B10*211*2/3))/100000</f>
        <v>9.6708333333333325</v>
      </c>
      <c r="L10" s="95" t="s">
        <v>521</v>
      </c>
    </row>
    <row r="11" spans="1:14" ht="15.75" customHeight="1">
      <c r="A11" s="190" t="s">
        <v>8</v>
      </c>
      <c r="B11" s="127">
        <v>1170</v>
      </c>
      <c r="C11" s="178" t="s">
        <v>38</v>
      </c>
      <c r="D11" s="179" t="s">
        <v>415</v>
      </c>
      <c r="E11" s="180">
        <v>28</v>
      </c>
      <c r="F11" s="104">
        <v>1000</v>
      </c>
      <c r="G11" s="29">
        <v>1.5</v>
      </c>
      <c r="H11" s="29">
        <v>1</v>
      </c>
      <c r="I11" s="21">
        <f>H11*G11*F11</f>
        <v>1500</v>
      </c>
      <c r="J11" s="50" t="s">
        <v>258</v>
      </c>
      <c r="K11" s="143">
        <f t="shared" ref="K11:K16" si="0">((B11*211)+(B11*211*2/3))/100000</f>
        <v>4.1144999999999996</v>
      </c>
      <c r="L11" s="134" t="s">
        <v>522</v>
      </c>
      <c r="M11" t="s">
        <v>419</v>
      </c>
      <c r="N11" t="s">
        <v>419</v>
      </c>
    </row>
    <row r="12" spans="1:14" ht="15" customHeight="1">
      <c r="A12" s="191"/>
      <c r="B12" s="127">
        <v>1166</v>
      </c>
      <c r="C12" s="178" t="s">
        <v>38</v>
      </c>
      <c r="D12" s="179" t="s">
        <v>416</v>
      </c>
      <c r="E12" s="180">
        <v>144</v>
      </c>
      <c r="F12" s="104">
        <v>1000</v>
      </c>
      <c r="G12" s="29">
        <v>1.5</v>
      </c>
      <c r="H12" s="29">
        <v>1</v>
      </c>
      <c r="I12" s="21">
        <f t="shared" ref="I12:I16" si="1">H12*G12*F12</f>
        <v>1500</v>
      </c>
      <c r="J12" s="50" t="s">
        <v>258</v>
      </c>
      <c r="K12" s="143">
        <f t="shared" si="0"/>
        <v>4.100433333333334</v>
      </c>
      <c r="L12" s="94"/>
      <c r="M12" t="s">
        <v>419</v>
      </c>
      <c r="N12" t="s">
        <v>420</v>
      </c>
    </row>
    <row r="13" spans="1:14" ht="15" customHeight="1">
      <c r="A13" s="191"/>
      <c r="B13" s="127">
        <v>1166</v>
      </c>
      <c r="C13" s="178" t="s">
        <v>38</v>
      </c>
      <c r="D13" s="179" t="s">
        <v>417</v>
      </c>
      <c r="E13" s="180">
        <v>73</v>
      </c>
      <c r="F13" s="104">
        <v>1000</v>
      </c>
      <c r="G13" s="29">
        <v>1.5</v>
      </c>
      <c r="H13" s="29">
        <v>1</v>
      </c>
      <c r="I13" s="21">
        <f t="shared" si="1"/>
        <v>1500</v>
      </c>
      <c r="J13" s="50" t="s">
        <v>258</v>
      </c>
      <c r="K13" s="143">
        <f t="shared" si="0"/>
        <v>4.100433333333334</v>
      </c>
      <c r="L13" s="94"/>
      <c r="M13" t="s">
        <v>420</v>
      </c>
      <c r="N13" t="s">
        <v>422</v>
      </c>
    </row>
    <row r="14" spans="1:14" ht="15" customHeight="1">
      <c r="A14" s="191"/>
      <c r="B14" s="127">
        <v>1166</v>
      </c>
      <c r="C14" s="178" t="s">
        <v>38</v>
      </c>
      <c r="D14" s="179" t="s">
        <v>418</v>
      </c>
      <c r="E14" s="180">
        <v>38</v>
      </c>
      <c r="F14" s="104">
        <v>1000</v>
      </c>
      <c r="G14" s="29">
        <v>1.5</v>
      </c>
      <c r="H14" s="29">
        <v>1</v>
      </c>
      <c r="I14" s="21">
        <f t="shared" si="1"/>
        <v>1500</v>
      </c>
      <c r="J14" s="50" t="s">
        <v>258</v>
      </c>
      <c r="K14" s="143">
        <f t="shared" si="0"/>
        <v>4.100433333333334</v>
      </c>
      <c r="L14" s="94"/>
      <c r="M14" t="s">
        <v>420</v>
      </c>
      <c r="N14" t="s">
        <v>604</v>
      </c>
    </row>
    <row r="15" spans="1:14" ht="15" customHeight="1">
      <c r="A15" s="191"/>
      <c r="B15" s="127">
        <v>1166</v>
      </c>
      <c r="C15" s="15" t="s">
        <v>38</v>
      </c>
      <c r="D15" s="20" t="s">
        <v>421</v>
      </c>
      <c r="E15" s="29">
        <v>22</v>
      </c>
      <c r="F15" s="104">
        <v>1000</v>
      </c>
      <c r="G15" s="29">
        <v>1.5</v>
      </c>
      <c r="H15" s="29">
        <v>1</v>
      </c>
      <c r="I15" s="21">
        <f t="shared" si="1"/>
        <v>1500</v>
      </c>
      <c r="J15" s="50" t="s">
        <v>258</v>
      </c>
      <c r="K15" s="143">
        <f t="shared" si="0"/>
        <v>4.100433333333334</v>
      </c>
      <c r="L15" s="94"/>
      <c r="M15" t="s">
        <v>422</v>
      </c>
      <c r="N15" t="s">
        <v>605</v>
      </c>
    </row>
    <row r="16" spans="1:14" ht="15" customHeight="1">
      <c r="A16" s="191"/>
      <c r="B16" s="127">
        <v>1166</v>
      </c>
      <c r="C16" s="15" t="s">
        <v>38</v>
      </c>
      <c r="D16" s="20" t="s">
        <v>429</v>
      </c>
      <c r="E16" s="29">
        <v>26</v>
      </c>
      <c r="F16" s="104">
        <v>1000</v>
      </c>
      <c r="G16" s="29">
        <v>1.5</v>
      </c>
      <c r="H16" s="29">
        <v>1</v>
      </c>
      <c r="I16" s="21">
        <f t="shared" si="1"/>
        <v>1500</v>
      </c>
      <c r="J16" s="50" t="s">
        <v>258</v>
      </c>
      <c r="K16" s="143">
        <f t="shared" si="0"/>
        <v>4.100433333333334</v>
      </c>
      <c r="L16" s="94"/>
      <c r="M16" t="s">
        <v>430</v>
      </c>
      <c r="N16" t="s">
        <v>423</v>
      </c>
    </row>
    <row r="17" spans="1:13">
      <c r="A17" s="240" t="s">
        <v>77</v>
      </c>
      <c r="B17" s="241"/>
      <c r="C17" s="241"/>
      <c r="D17" s="241"/>
      <c r="E17" s="241"/>
      <c r="F17" s="241"/>
      <c r="G17" s="241"/>
      <c r="H17" s="241"/>
      <c r="I17" s="241"/>
      <c r="J17" s="241"/>
      <c r="K17" s="242"/>
      <c r="L17" s="20"/>
    </row>
    <row r="18" spans="1:13" ht="14.4" customHeight="1">
      <c r="A18" s="211" t="s">
        <v>79</v>
      </c>
      <c r="B18" s="50">
        <v>300</v>
      </c>
      <c r="C18" s="12" t="s">
        <v>89</v>
      </c>
      <c r="D18" s="270" t="s">
        <v>435</v>
      </c>
      <c r="E18" s="271"/>
      <c r="F18" s="84">
        <v>50</v>
      </c>
      <c r="G18" s="21">
        <v>2</v>
      </c>
      <c r="H18" s="21">
        <v>0.1</v>
      </c>
      <c r="I18" s="21">
        <f>H18*G18*F18</f>
        <v>10</v>
      </c>
      <c r="J18" s="79" t="s">
        <v>258</v>
      </c>
      <c r="K18" s="147">
        <f>((B18*211)+(B18*211*2/3))/100000</f>
        <v>1.0549999999999999</v>
      </c>
      <c r="L18" s="261" t="s">
        <v>523</v>
      </c>
    </row>
    <row r="19" spans="1:13">
      <c r="A19" s="211"/>
      <c r="B19" s="50">
        <v>200</v>
      </c>
      <c r="C19" s="13" t="s">
        <v>437</v>
      </c>
      <c r="D19" s="270" t="s">
        <v>438</v>
      </c>
      <c r="E19" s="271"/>
      <c r="F19" s="84">
        <v>60</v>
      </c>
      <c r="G19" s="21">
        <v>2</v>
      </c>
      <c r="H19" s="21">
        <v>0.1</v>
      </c>
      <c r="I19" s="21">
        <f t="shared" ref="I19:I23" si="2">H19*G19*F19</f>
        <v>12</v>
      </c>
      <c r="J19" s="79" t="s">
        <v>258</v>
      </c>
      <c r="K19" s="147">
        <f>((B19*211)+(B19*211*2/3))/100000</f>
        <v>0.70333333333333325</v>
      </c>
      <c r="L19" s="261"/>
    </row>
    <row r="20" spans="1:13">
      <c r="A20" s="211"/>
      <c r="B20" s="267">
        <v>500</v>
      </c>
      <c r="C20" s="275" t="s">
        <v>97</v>
      </c>
      <c r="D20" s="207" t="s">
        <v>424</v>
      </c>
      <c r="E20" s="274"/>
      <c r="F20" s="84">
        <v>7000</v>
      </c>
      <c r="G20" s="21">
        <v>3</v>
      </c>
      <c r="H20" s="21">
        <v>0.1</v>
      </c>
      <c r="I20" s="21">
        <f t="shared" si="2"/>
        <v>2100.0000000000005</v>
      </c>
      <c r="J20" s="79" t="s">
        <v>258</v>
      </c>
      <c r="K20" s="264">
        <f>((B20*211)+(B20*211*2/3))/100000</f>
        <v>1.7583333333333331</v>
      </c>
      <c r="L20" s="261"/>
      <c r="M20" t="s">
        <v>431</v>
      </c>
    </row>
    <row r="21" spans="1:13">
      <c r="A21" s="211"/>
      <c r="B21" s="268"/>
      <c r="C21" s="276"/>
      <c r="D21" s="270" t="s">
        <v>273</v>
      </c>
      <c r="E21" s="278"/>
      <c r="F21" s="84">
        <v>1000</v>
      </c>
      <c r="G21" s="21">
        <v>3</v>
      </c>
      <c r="H21" s="21">
        <v>0.1</v>
      </c>
      <c r="I21" s="21">
        <f t="shared" si="2"/>
        <v>300.00000000000006</v>
      </c>
      <c r="J21" s="79" t="s">
        <v>258</v>
      </c>
      <c r="K21" s="265"/>
      <c r="L21" s="261"/>
      <c r="M21" t="s">
        <v>423</v>
      </c>
    </row>
    <row r="22" spans="1:13">
      <c r="A22" s="211"/>
      <c r="B22" s="268"/>
      <c r="C22" s="276"/>
      <c r="D22" s="207" t="s">
        <v>425</v>
      </c>
      <c r="E22" s="274"/>
      <c r="F22" s="84">
        <v>9000</v>
      </c>
      <c r="G22" s="21">
        <v>3</v>
      </c>
      <c r="H22" s="21">
        <v>0.3</v>
      </c>
      <c r="I22" s="21">
        <f t="shared" si="2"/>
        <v>8099.9999999999991</v>
      </c>
      <c r="J22" s="79" t="s">
        <v>258</v>
      </c>
      <c r="K22" s="265"/>
      <c r="L22" s="261"/>
      <c r="M22" t="s">
        <v>426</v>
      </c>
    </row>
    <row r="23" spans="1:13">
      <c r="A23" s="211"/>
      <c r="B23" s="269"/>
      <c r="C23" s="277"/>
      <c r="D23" s="270" t="s">
        <v>427</v>
      </c>
      <c r="E23" s="278"/>
      <c r="F23" s="84">
        <v>1000</v>
      </c>
      <c r="G23" s="21">
        <v>2</v>
      </c>
      <c r="H23" s="21">
        <v>0.3</v>
      </c>
      <c r="I23" s="21">
        <f t="shared" si="2"/>
        <v>600</v>
      </c>
      <c r="J23" s="79" t="s">
        <v>258</v>
      </c>
      <c r="K23" s="266"/>
      <c r="L23" s="261"/>
      <c r="M23" t="s">
        <v>428</v>
      </c>
    </row>
    <row r="24" spans="1:13" ht="15.6">
      <c r="A24" s="53" t="s">
        <v>80</v>
      </c>
      <c r="B24" s="50">
        <v>500</v>
      </c>
      <c r="C24" s="25" t="s">
        <v>433</v>
      </c>
      <c r="D24" s="262" t="s">
        <v>432</v>
      </c>
      <c r="E24" s="263"/>
      <c r="F24" s="99">
        <v>30</v>
      </c>
      <c r="G24" s="21">
        <v>20</v>
      </c>
      <c r="H24" s="21">
        <v>3</v>
      </c>
      <c r="I24" s="21">
        <f>H24*G24*F24</f>
        <v>1800</v>
      </c>
      <c r="J24" s="79" t="s">
        <v>258</v>
      </c>
      <c r="K24" s="143">
        <f>((B24*211)+(B24*211*2/3))/100000</f>
        <v>1.7583333333333331</v>
      </c>
      <c r="L24" s="95" t="s">
        <v>524</v>
      </c>
      <c r="M24" t="s">
        <v>434</v>
      </c>
    </row>
    <row r="25" spans="1:13">
      <c r="B25" s="10">
        <f>B24+B20+B19+B18+B16+B15+B14+B13+B12+B11+B10</f>
        <v>11250</v>
      </c>
      <c r="K25" s="64">
        <f>K24+K20+K19+K18+K16+K15+K14+K13+K12+K11+K10</f>
        <v>39.562500000000007</v>
      </c>
    </row>
    <row r="26" spans="1:13">
      <c r="B26" s="26">
        <f>B3*90</f>
        <v>11250</v>
      </c>
      <c r="K26" s="153">
        <f>E4/100000</f>
        <v>39.5625</v>
      </c>
    </row>
  </sheetData>
  <mergeCells count="28">
    <mergeCell ref="A11:A16"/>
    <mergeCell ref="A17:K17"/>
    <mergeCell ref="A18:A23"/>
    <mergeCell ref="D20:E20"/>
    <mergeCell ref="D22:E22"/>
    <mergeCell ref="C20:C23"/>
    <mergeCell ref="D23:E23"/>
    <mergeCell ref="D21:E21"/>
    <mergeCell ref="L7:L8"/>
    <mergeCell ref="K7:K8"/>
    <mergeCell ref="A9:K9"/>
    <mergeCell ref="A7:A8"/>
    <mergeCell ref="B7:B8"/>
    <mergeCell ref="C7:C8"/>
    <mergeCell ref="D7:E8"/>
    <mergeCell ref="F7:J7"/>
    <mergeCell ref="D10:E10"/>
    <mergeCell ref="D19:E19"/>
    <mergeCell ref="F2:H2"/>
    <mergeCell ref="F3:H3"/>
    <mergeCell ref="F4:H4"/>
    <mergeCell ref="F5:H5"/>
    <mergeCell ref="F6:H6"/>
    <mergeCell ref="L18:L23"/>
    <mergeCell ref="D24:E24"/>
    <mergeCell ref="K20:K23"/>
    <mergeCell ref="B20:B23"/>
    <mergeCell ref="D18:E18"/>
  </mergeCells>
  <printOptions horizontalCentered="1"/>
  <pageMargins left="1.1399999999999999" right="0.7" top="1.3" bottom="0.75" header="0.48" footer="0.3"/>
  <pageSetup paperSize="9" orientation="landscape" horizontalDpi="300" verticalDpi="300" r:id="rId1"/>
  <headerFooter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O36"/>
  <sheetViews>
    <sheetView tabSelected="1" topLeftCell="A7" workbookViewId="0">
      <selection activeCell="B14" sqref="B14:E14"/>
    </sheetView>
  </sheetViews>
  <sheetFormatPr defaultRowHeight="14.4"/>
  <cols>
    <col min="1" max="1" width="17" style="9" customWidth="1"/>
    <col min="2" max="2" width="9.6640625" style="10" customWidth="1"/>
    <col min="3" max="3" width="24.5546875" customWidth="1"/>
    <col min="4" max="4" width="25.88671875" style="3" customWidth="1"/>
    <col min="5" max="5" width="9.33203125" style="3" customWidth="1"/>
    <col min="6" max="6" width="18.44140625" style="3" customWidth="1"/>
    <col min="7" max="7" width="5" style="18" customWidth="1"/>
    <col min="8" max="9" width="4.5546875" style="18" customWidth="1"/>
    <col min="10" max="10" width="6.44140625" style="18" customWidth="1"/>
    <col min="11" max="11" width="5.109375" style="18" customWidth="1"/>
    <col min="12" max="12" width="8.88671875" style="10"/>
    <col min="13" max="13" width="22.6640625" bestFit="1" customWidth="1"/>
  </cols>
  <sheetData>
    <row r="1" spans="1:15">
      <c r="A1" s="19" t="s">
        <v>239</v>
      </c>
      <c r="B1" s="6"/>
      <c r="C1" s="16"/>
      <c r="D1" s="16" t="s">
        <v>146</v>
      </c>
      <c r="E1" s="16"/>
      <c r="F1" s="16"/>
      <c r="G1" s="16"/>
      <c r="H1" s="16"/>
      <c r="I1" s="16"/>
      <c r="J1" s="16"/>
      <c r="K1" s="16"/>
      <c r="L1" s="11"/>
      <c r="M1" s="51"/>
    </row>
    <row r="2" spans="1:15">
      <c r="A2" s="1"/>
      <c r="B2" s="6"/>
      <c r="C2" s="2"/>
      <c r="D2" s="2" t="s">
        <v>0</v>
      </c>
      <c r="E2" s="19">
        <f>B3*211*90</f>
        <v>2639610</v>
      </c>
      <c r="F2" s="2"/>
      <c r="G2" s="204"/>
      <c r="H2" s="204"/>
      <c r="I2" s="204"/>
      <c r="J2" s="56"/>
      <c r="K2" s="56"/>
      <c r="L2" s="11"/>
      <c r="M2" s="51"/>
    </row>
    <row r="3" spans="1:15">
      <c r="A3" s="19" t="s">
        <v>1</v>
      </c>
      <c r="B3" s="6">
        <v>139</v>
      </c>
      <c r="C3" s="2"/>
      <c r="D3" s="2" t="s">
        <v>2</v>
      </c>
      <c r="E3" s="19">
        <f>E2*2/3</f>
        <v>1759740</v>
      </c>
      <c r="F3" s="2"/>
      <c r="G3" s="205"/>
      <c r="H3" s="205"/>
      <c r="I3" s="205"/>
      <c r="J3" s="57"/>
      <c r="K3" s="57"/>
      <c r="L3" s="11"/>
      <c r="M3" s="51"/>
    </row>
    <row r="4" spans="1:15">
      <c r="A4" s="7"/>
      <c r="B4" s="5"/>
      <c r="C4" s="2"/>
      <c r="D4" s="2" t="s">
        <v>3</v>
      </c>
      <c r="E4" s="19">
        <f>SUM(E2:E3)</f>
        <v>4399350</v>
      </c>
      <c r="F4" s="2"/>
      <c r="G4" s="205"/>
      <c r="H4" s="205"/>
      <c r="I4" s="205"/>
      <c r="J4" s="57"/>
      <c r="K4" s="57"/>
      <c r="L4" s="11"/>
      <c r="M4" s="51"/>
    </row>
    <row r="5" spans="1:15">
      <c r="A5" s="7"/>
      <c r="B5" s="5"/>
      <c r="C5" s="2"/>
      <c r="D5" s="2" t="s">
        <v>4</v>
      </c>
      <c r="E5" s="19">
        <f>E4*0.06</f>
        <v>263961</v>
      </c>
      <c r="F5" s="2"/>
      <c r="G5" s="205"/>
      <c r="H5" s="205"/>
      <c r="I5" s="205"/>
      <c r="J5" s="57"/>
      <c r="K5" s="57"/>
      <c r="L5" s="11"/>
      <c r="M5" s="51"/>
    </row>
    <row r="6" spans="1:15">
      <c r="A6" s="7"/>
      <c r="B6" s="5"/>
      <c r="C6" s="2"/>
      <c r="D6" s="2" t="s">
        <v>5</v>
      </c>
      <c r="E6" s="19">
        <f>E5+E4</f>
        <v>4663311</v>
      </c>
      <c r="F6" s="2"/>
      <c r="G6" s="206"/>
      <c r="H6" s="206"/>
      <c r="I6" s="206"/>
      <c r="J6" s="58"/>
      <c r="K6" s="58"/>
      <c r="L6" s="11"/>
      <c r="M6" s="51"/>
    </row>
    <row r="7" spans="1:15" ht="21" customHeight="1">
      <c r="A7" s="187" t="s">
        <v>18</v>
      </c>
      <c r="B7" s="186" t="s">
        <v>14</v>
      </c>
      <c r="C7" s="184" t="s">
        <v>147</v>
      </c>
      <c r="D7" s="193" t="s">
        <v>7</v>
      </c>
      <c r="E7" s="194"/>
      <c r="F7" s="184"/>
      <c r="G7" s="234" t="s">
        <v>153</v>
      </c>
      <c r="H7" s="235"/>
      <c r="I7" s="235"/>
      <c r="J7" s="235"/>
      <c r="K7" s="236"/>
      <c r="L7" s="202" t="s">
        <v>144</v>
      </c>
      <c r="M7" s="200" t="s">
        <v>117</v>
      </c>
    </row>
    <row r="8" spans="1:15" ht="27" customHeight="1">
      <c r="A8" s="187"/>
      <c r="B8" s="186"/>
      <c r="C8" s="185"/>
      <c r="D8" s="195"/>
      <c r="E8" s="196"/>
      <c r="F8" s="185"/>
      <c r="G8" s="52" t="s">
        <v>148</v>
      </c>
      <c r="H8" s="52" t="s">
        <v>149</v>
      </c>
      <c r="I8" s="52" t="s">
        <v>150</v>
      </c>
      <c r="J8" s="52" t="s">
        <v>151</v>
      </c>
      <c r="K8" s="52" t="s">
        <v>152</v>
      </c>
      <c r="L8" s="203"/>
      <c r="M8" s="201"/>
    </row>
    <row r="9" spans="1:15" ht="14.4" customHeight="1">
      <c r="A9" s="189" t="s">
        <v>40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60"/>
    </row>
    <row r="10" spans="1:15" ht="28.8">
      <c r="A10" s="112" t="s">
        <v>25</v>
      </c>
      <c r="B10" s="50">
        <v>1235</v>
      </c>
      <c r="C10" s="15" t="s">
        <v>11</v>
      </c>
      <c r="D10" s="228" t="s">
        <v>497</v>
      </c>
      <c r="E10" s="229"/>
      <c r="F10" s="230"/>
      <c r="G10" s="82">
        <v>2</v>
      </c>
      <c r="H10" s="21">
        <v>2</v>
      </c>
      <c r="I10" s="21">
        <v>1.2</v>
      </c>
      <c r="J10" s="21">
        <f>I10*H10*G10</f>
        <v>4.8</v>
      </c>
      <c r="K10" s="106" t="s">
        <v>258</v>
      </c>
      <c r="L10" s="138">
        <f>((B10*211)+(B10*211*2/3))/100000</f>
        <v>4.3430833333333334</v>
      </c>
      <c r="M10" s="117" t="s">
        <v>525</v>
      </c>
    </row>
    <row r="11" spans="1:15" ht="15.75" customHeight="1">
      <c r="A11" s="190" t="s">
        <v>8</v>
      </c>
      <c r="B11" s="177">
        <v>800</v>
      </c>
      <c r="C11" s="178" t="s">
        <v>38</v>
      </c>
      <c r="D11" s="179" t="s">
        <v>479</v>
      </c>
      <c r="E11" s="180">
        <v>28</v>
      </c>
      <c r="F11" s="54"/>
      <c r="G11" s="29">
        <v>1000</v>
      </c>
      <c r="H11" s="29">
        <v>1.5</v>
      </c>
      <c r="I11" s="29">
        <v>1</v>
      </c>
      <c r="J11" s="21">
        <f>I11*H11*G11</f>
        <v>1500</v>
      </c>
      <c r="K11" s="50" t="s">
        <v>258</v>
      </c>
      <c r="L11" s="138">
        <f t="shared" ref="L11:L15" si="0">((B11*211)+(B11*211*2/3))/100000</f>
        <v>2.813333333333333</v>
      </c>
      <c r="M11" s="130" t="s">
        <v>526</v>
      </c>
      <c r="O11">
        <f>4000/5</f>
        <v>800</v>
      </c>
    </row>
    <row r="12" spans="1:15" ht="15" customHeight="1">
      <c r="A12" s="191"/>
      <c r="B12" s="177">
        <v>800</v>
      </c>
      <c r="C12" s="178" t="s">
        <v>38</v>
      </c>
      <c r="D12" s="179" t="s">
        <v>480</v>
      </c>
      <c r="E12" s="180">
        <v>25</v>
      </c>
      <c r="F12" s="54"/>
      <c r="G12" s="29">
        <v>1200</v>
      </c>
      <c r="H12" s="29">
        <v>1.5</v>
      </c>
      <c r="I12" s="29">
        <v>1</v>
      </c>
      <c r="J12" s="21">
        <f t="shared" ref="J12:J15" si="1">I12*H12*G12</f>
        <v>1800</v>
      </c>
      <c r="K12" s="50" t="s">
        <v>258</v>
      </c>
      <c r="L12" s="138">
        <f t="shared" si="0"/>
        <v>2.813333333333333</v>
      </c>
      <c r="M12" s="130"/>
    </row>
    <row r="13" spans="1:15" ht="15" customHeight="1">
      <c r="A13" s="191"/>
      <c r="B13" s="177">
        <v>800</v>
      </c>
      <c r="C13" s="178" t="s">
        <v>38</v>
      </c>
      <c r="D13" s="179" t="s">
        <v>481</v>
      </c>
      <c r="E13" s="180">
        <v>36</v>
      </c>
      <c r="F13" s="54"/>
      <c r="G13" s="29">
        <v>1200</v>
      </c>
      <c r="H13" s="29">
        <v>1.5</v>
      </c>
      <c r="I13" s="29">
        <v>1</v>
      </c>
      <c r="J13" s="21">
        <f t="shared" si="1"/>
        <v>1800</v>
      </c>
      <c r="K13" s="50" t="s">
        <v>258</v>
      </c>
      <c r="L13" s="138">
        <f t="shared" si="0"/>
        <v>2.813333333333333</v>
      </c>
      <c r="M13" s="130"/>
    </row>
    <row r="14" spans="1:15" ht="15" customHeight="1">
      <c r="A14" s="191"/>
      <c r="B14" s="177">
        <v>800</v>
      </c>
      <c r="C14" s="178" t="s">
        <v>38</v>
      </c>
      <c r="D14" s="179" t="s">
        <v>482</v>
      </c>
      <c r="E14" s="180">
        <v>11</v>
      </c>
      <c r="F14" s="54"/>
      <c r="G14" s="29">
        <v>900</v>
      </c>
      <c r="H14" s="29">
        <v>1.5</v>
      </c>
      <c r="I14" s="29">
        <v>1</v>
      </c>
      <c r="J14" s="21">
        <f t="shared" si="1"/>
        <v>1350</v>
      </c>
      <c r="K14" s="50" t="s">
        <v>258</v>
      </c>
      <c r="L14" s="138">
        <f t="shared" si="0"/>
        <v>2.813333333333333</v>
      </c>
      <c r="M14" s="130"/>
    </row>
    <row r="15" spans="1:15" ht="15" customHeight="1">
      <c r="A15" s="191"/>
      <c r="B15" s="127">
        <v>800</v>
      </c>
      <c r="C15" s="15" t="s">
        <v>38</v>
      </c>
      <c r="D15" s="20" t="s">
        <v>483</v>
      </c>
      <c r="E15" s="29">
        <v>65</v>
      </c>
      <c r="F15" s="54"/>
      <c r="G15" s="29">
        <v>1000</v>
      </c>
      <c r="H15" s="29">
        <v>1.5</v>
      </c>
      <c r="I15" s="29">
        <v>1</v>
      </c>
      <c r="J15" s="21">
        <f t="shared" si="1"/>
        <v>1500</v>
      </c>
      <c r="K15" s="50" t="s">
        <v>258</v>
      </c>
      <c r="L15" s="138">
        <f t="shared" si="0"/>
        <v>2.813333333333333</v>
      </c>
      <c r="M15" s="130"/>
    </row>
    <row r="16" spans="1:15" ht="14.4" customHeight="1">
      <c r="A16" s="237" t="s">
        <v>39</v>
      </c>
      <c r="B16" s="238"/>
      <c r="C16" s="238"/>
      <c r="D16" s="238"/>
      <c r="E16" s="238"/>
      <c r="F16" s="238"/>
      <c r="G16" s="238"/>
      <c r="H16" s="238"/>
      <c r="I16" s="238"/>
      <c r="J16" s="238"/>
      <c r="K16" s="238"/>
      <c r="L16" s="239"/>
      <c r="M16" s="61"/>
    </row>
    <row r="17" spans="1:13" ht="14.4" customHeight="1">
      <c r="A17" s="211" t="s">
        <v>46</v>
      </c>
      <c r="B17" s="127">
        <v>600</v>
      </c>
      <c r="C17" s="13" t="s">
        <v>154</v>
      </c>
      <c r="D17" s="20" t="s">
        <v>484</v>
      </c>
      <c r="E17" s="54">
        <v>39</v>
      </c>
      <c r="F17" s="54"/>
      <c r="G17" s="12"/>
      <c r="H17" s="21"/>
      <c r="I17" s="21"/>
      <c r="J17" s="21"/>
      <c r="K17" s="21"/>
      <c r="L17" s="138">
        <f>((B17*211)+(B17*211*2/3))/100000</f>
        <v>2.11</v>
      </c>
      <c r="M17" s="94" t="s">
        <v>527</v>
      </c>
    </row>
    <row r="18" spans="1:13" ht="15" customHeight="1">
      <c r="A18" s="211"/>
      <c r="B18" s="145">
        <v>600</v>
      </c>
      <c r="C18" s="13" t="s">
        <v>154</v>
      </c>
      <c r="D18" s="20" t="s">
        <v>284</v>
      </c>
      <c r="E18" s="54">
        <v>34</v>
      </c>
      <c r="F18" s="54"/>
      <c r="G18" s="12"/>
      <c r="H18" s="21"/>
      <c r="I18" s="21"/>
      <c r="J18" s="21"/>
      <c r="K18" s="21"/>
      <c r="L18" s="138">
        <f t="shared" ref="L18:L23" si="2">((B18*211)+(B18*211*2/3))/100000</f>
        <v>2.11</v>
      </c>
      <c r="M18" s="94"/>
    </row>
    <row r="19" spans="1:13" ht="15" customHeight="1">
      <c r="A19" s="211"/>
      <c r="B19" s="145">
        <v>600</v>
      </c>
      <c r="C19" s="13" t="s">
        <v>154</v>
      </c>
      <c r="D19" s="20" t="s">
        <v>485</v>
      </c>
      <c r="E19" s="54">
        <v>27</v>
      </c>
      <c r="F19" s="54"/>
      <c r="G19" s="12"/>
      <c r="H19" s="21"/>
      <c r="I19" s="21"/>
      <c r="J19" s="21"/>
      <c r="K19" s="21"/>
      <c r="L19" s="138">
        <f t="shared" si="2"/>
        <v>2.11</v>
      </c>
      <c r="M19" s="94"/>
    </row>
    <row r="20" spans="1:13" ht="15" customHeight="1">
      <c r="A20" s="211"/>
      <c r="B20" s="145">
        <v>600</v>
      </c>
      <c r="C20" s="13" t="s">
        <v>154</v>
      </c>
      <c r="D20" s="20" t="s">
        <v>486</v>
      </c>
      <c r="E20" s="54">
        <v>108</v>
      </c>
      <c r="F20" s="54"/>
      <c r="G20" s="12"/>
      <c r="H20" s="21"/>
      <c r="I20" s="21"/>
      <c r="J20" s="21"/>
      <c r="K20" s="21"/>
      <c r="L20" s="138">
        <f t="shared" si="2"/>
        <v>2.11</v>
      </c>
      <c r="M20" s="94"/>
    </row>
    <row r="21" spans="1:13" ht="15" customHeight="1">
      <c r="A21" s="211"/>
      <c r="B21" s="145">
        <v>600</v>
      </c>
      <c r="C21" s="13" t="s">
        <v>154</v>
      </c>
      <c r="D21" s="20" t="s">
        <v>487</v>
      </c>
      <c r="E21" s="54">
        <v>56</v>
      </c>
      <c r="F21" s="54"/>
      <c r="G21" s="12"/>
      <c r="H21" s="21"/>
      <c r="I21" s="21"/>
      <c r="J21" s="21"/>
      <c r="K21" s="21"/>
      <c r="L21" s="138">
        <f t="shared" si="2"/>
        <v>2.11</v>
      </c>
      <c r="M21" s="94"/>
    </row>
    <row r="22" spans="1:13" ht="15" customHeight="1">
      <c r="A22" s="211"/>
      <c r="B22" s="145">
        <v>600</v>
      </c>
      <c r="C22" s="13" t="s">
        <v>154</v>
      </c>
      <c r="D22" s="20" t="s">
        <v>488</v>
      </c>
      <c r="E22" s="54">
        <v>109</v>
      </c>
      <c r="F22" s="54"/>
      <c r="G22" s="12"/>
      <c r="H22" s="21"/>
      <c r="I22" s="21"/>
      <c r="J22" s="21"/>
      <c r="K22" s="21"/>
      <c r="L22" s="138">
        <f t="shared" si="2"/>
        <v>2.11</v>
      </c>
      <c r="M22" s="94"/>
    </row>
    <row r="23" spans="1:13" ht="15" customHeight="1">
      <c r="A23" s="211"/>
      <c r="B23" s="145">
        <v>600</v>
      </c>
      <c r="C23" s="13" t="s">
        <v>154</v>
      </c>
      <c r="D23" s="20" t="s">
        <v>489</v>
      </c>
      <c r="E23" s="54">
        <v>96</v>
      </c>
      <c r="F23" s="54"/>
      <c r="G23" s="12"/>
      <c r="H23" s="21"/>
      <c r="I23" s="21"/>
      <c r="J23" s="21"/>
      <c r="K23" s="21"/>
      <c r="L23" s="138">
        <f t="shared" si="2"/>
        <v>2.11</v>
      </c>
      <c r="M23" s="94"/>
    </row>
    <row r="24" spans="1:13" ht="14.4" customHeight="1">
      <c r="A24" s="237" t="s">
        <v>71</v>
      </c>
      <c r="B24" s="238"/>
      <c r="C24" s="238"/>
      <c r="D24" s="238"/>
      <c r="E24" s="238"/>
      <c r="F24" s="238"/>
      <c r="G24" s="238"/>
      <c r="H24" s="238"/>
      <c r="I24" s="238"/>
      <c r="J24" s="238"/>
      <c r="K24" s="238"/>
      <c r="L24" s="239"/>
      <c r="M24" s="20"/>
    </row>
    <row r="25" spans="1:13" ht="28.95" customHeight="1">
      <c r="A25" s="108" t="s">
        <v>73</v>
      </c>
      <c r="B25" s="50">
        <v>500</v>
      </c>
      <c r="C25" s="14" t="s">
        <v>74</v>
      </c>
      <c r="D25" s="207" t="s">
        <v>498</v>
      </c>
      <c r="E25" s="208"/>
      <c r="F25" s="209"/>
      <c r="G25" s="112">
        <v>6</v>
      </c>
      <c r="H25" s="21">
        <v>4.5</v>
      </c>
      <c r="I25" s="21"/>
      <c r="J25" s="21">
        <f>H25*G25</f>
        <v>27</v>
      </c>
      <c r="K25" s="106" t="s">
        <v>467</v>
      </c>
      <c r="L25" s="138">
        <f>((B25*211)+(B25*211*2/3))/100000</f>
        <v>1.7583333333333331</v>
      </c>
      <c r="M25" s="117" t="s">
        <v>528</v>
      </c>
    </row>
    <row r="26" spans="1:13">
      <c r="A26" s="240" t="s">
        <v>77</v>
      </c>
      <c r="B26" s="241"/>
      <c r="C26" s="241"/>
      <c r="D26" s="241"/>
      <c r="E26" s="241"/>
      <c r="F26" s="241"/>
      <c r="G26" s="241"/>
      <c r="H26" s="241"/>
      <c r="I26" s="241"/>
      <c r="J26" s="241"/>
      <c r="K26" s="241"/>
      <c r="L26" s="242"/>
      <c r="M26" s="20"/>
    </row>
    <row r="27" spans="1:13" ht="15.6">
      <c r="A27" s="108" t="s">
        <v>78</v>
      </c>
      <c r="B27" s="50">
        <v>500</v>
      </c>
      <c r="C27" s="13" t="s">
        <v>414</v>
      </c>
      <c r="D27" s="270" t="s">
        <v>327</v>
      </c>
      <c r="E27" s="279"/>
      <c r="F27" s="278"/>
      <c r="G27" s="118"/>
      <c r="H27" s="21"/>
      <c r="I27" s="21"/>
      <c r="J27" s="21"/>
      <c r="K27" s="21"/>
      <c r="L27" s="139">
        <f>((B27*211)+(B27*211*2/3))/100000</f>
        <v>1.7583333333333331</v>
      </c>
      <c r="M27" s="95" t="s">
        <v>529</v>
      </c>
    </row>
    <row r="28" spans="1:13" ht="14.4" customHeight="1">
      <c r="A28" s="211" t="s">
        <v>79</v>
      </c>
      <c r="B28" s="267">
        <v>400</v>
      </c>
      <c r="C28" s="12" t="s">
        <v>89</v>
      </c>
      <c r="D28" s="270" t="s">
        <v>491</v>
      </c>
      <c r="E28" s="279"/>
      <c r="F28" s="278"/>
      <c r="G28" s="118"/>
      <c r="H28" s="21"/>
      <c r="I28" s="21"/>
      <c r="J28" s="21"/>
      <c r="K28" s="21"/>
      <c r="L28" s="264">
        <f>((B28*211)+(B28*211*2/3))/100000</f>
        <v>1.4066666666666665</v>
      </c>
      <c r="M28" s="261" t="s">
        <v>530</v>
      </c>
    </row>
    <row r="29" spans="1:13">
      <c r="A29" s="211"/>
      <c r="B29" s="268"/>
      <c r="C29" s="12" t="s">
        <v>89</v>
      </c>
      <c r="D29" s="270" t="s">
        <v>492</v>
      </c>
      <c r="E29" s="279"/>
      <c r="F29" s="278"/>
      <c r="G29" s="118"/>
      <c r="H29" s="21"/>
      <c r="I29" s="21"/>
      <c r="J29" s="21"/>
      <c r="K29" s="21"/>
      <c r="L29" s="265"/>
      <c r="M29" s="261"/>
    </row>
    <row r="30" spans="1:13">
      <c r="A30" s="211"/>
      <c r="B30" s="268"/>
      <c r="C30" s="12" t="s">
        <v>89</v>
      </c>
      <c r="D30" s="270" t="s">
        <v>493</v>
      </c>
      <c r="E30" s="279"/>
      <c r="F30" s="278"/>
      <c r="G30" s="118"/>
      <c r="H30" s="21"/>
      <c r="I30" s="21"/>
      <c r="J30" s="21"/>
      <c r="K30" s="21"/>
      <c r="L30" s="265"/>
      <c r="M30" s="261"/>
    </row>
    <row r="31" spans="1:13">
      <c r="A31" s="211"/>
      <c r="B31" s="269"/>
      <c r="C31" s="12" t="s">
        <v>89</v>
      </c>
      <c r="D31" s="270" t="s">
        <v>494</v>
      </c>
      <c r="E31" s="280"/>
      <c r="F31" s="271"/>
      <c r="G31" s="118"/>
      <c r="H31" s="21"/>
      <c r="I31" s="21"/>
      <c r="J31" s="21"/>
      <c r="K31" s="21"/>
      <c r="L31" s="266"/>
      <c r="M31" s="261"/>
    </row>
    <row r="32" spans="1:13">
      <c r="A32" s="211"/>
      <c r="B32" s="50">
        <v>200</v>
      </c>
      <c r="C32" s="12" t="s">
        <v>93</v>
      </c>
      <c r="D32" s="270" t="s">
        <v>495</v>
      </c>
      <c r="E32" s="280"/>
      <c r="F32" s="271"/>
      <c r="G32" s="118"/>
      <c r="H32" s="21"/>
      <c r="I32" s="21"/>
      <c r="J32" s="21"/>
      <c r="K32" s="21"/>
      <c r="L32" s="139">
        <f>((B32*211)+(B32*211*2/3))/100000</f>
        <v>0.70333333333333325</v>
      </c>
      <c r="M32" s="261"/>
    </row>
    <row r="33" spans="1:13" ht="28.95" customHeight="1">
      <c r="A33" s="211" t="s">
        <v>81</v>
      </c>
      <c r="B33" s="50">
        <v>300</v>
      </c>
      <c r="C33" s="14" t="s">
        <v>102</v>
      </c>
      <c r="D33" s="207" t="s">
        <v>490</v>
      </c>
      <c r="E33" s="208"/>
      <c r="F33" s="209"/>
      <c r="G33" s="118"/>
      <c r="H33" s="21"/>
      <c r="I33" s="21"/>
      <c r="J33" s="21"/>
      <c r="K33" s="21"/>
      <c r="L33" s="146">
        <f t="shared" ref="L33:L34" si="3">((B33*211)+(B33*211*2/3))/100000</f>
        <v>1.0549999999999999</v>
      </c>
      <c r="M33" s="124" t="s">
        <v>531</v>
      </c>
    </row>
    <row r="34" spans="1:13" ht="15.6">
      <c r="A34" s="211"/>
      <c r="B34" s="50">
        <v>1175</v>
      </c>
      <c r="C34" s="28" t="s">
        <v>113</v>
      </c>
      <c r="D34" s="207" t="s">
        <v>496</v>
      </c>
      <c r="E34" s="208"/>
      <c r="F34" s="209"/>
      <c r="G34" s="43"/>
      <c r="H34" s="21"/>
      <c r="I34" s="21"/>
      <c r="J34" s="21"/>
      <c r="K34" s="21"/>
      <c r="L34" s="146">
        <f t="shared" si="3"/>
        <v>4.132083333333334</v>
      </c>
      <c r="M34" s="95" t="s">
        <v>532</v>
      </c>
    </row>
    <row r="35" spans="1:13">
      <c r="B35" s="10">
        <f>B34+B33+B32+B28+B27+B25+B23+B22+B21+B20+B19+B18+B17+B15+B14+B13+B12+B11+B10</f>
        <v>12510</v>
      </c>
      <c r="L35" s="148">
        <f>L34+L33+L32+L28+L27+L25+L23+L22+L21+L20+L19+L18+L17+L15+L14+L13+L12+L11+L10</f>
        <v>43.99349999999999</v>
      </c>
    </row>
    <row r="36" spans="1:13">
      <c r="B36" s="26">
        <f>B3*90</f>
        <v>12510</v>
      </c>
      <c r="L36" s="149">
        <f>E4/100000</f>
        <v>43.993499999999997</v>
      </c>
    </row>
  </sheetData>
  <mergeCells count="33">
    <mergeCell ref="M28:M32"/>
    <mergeCell ref="A24:L24"/>
    <mergeCell ref="A33:A34"/>
    <mergeCell ref="L28:L31"/>
    <mergeCell ref="D25:F25"/>
    <mergeCell ref="A26:L26"/>
    <mergeCell ref="A28:A32"/>
    <mergeCell ref="D33:F33"/>
    <mergeCell ref="D34:F34"/>
    <mergeCell ref="B28:B31"/>
    <mergeCell ref="D28:F28"/>
    <mergeCell ref="D29:F29"/>
    <mergeCell ref="D30:F30"/>
    <mergeCell ref="D31:F31"/>
    <mergeCell ref="D32:F32"/>
    <mergeCell ref="D27:F27"/>
    <mergeCell ref="G2:I2"/>
    <mergeCell ref="G3:I3"/>
    <mergeCell ref="G4:I4"/>
    <mergeCell ref="G5:I5"/>
    <mergeCell ref="G6:I6"/>
    <mergeCell ref="A16:L16"/>
    <mergeCell ref="D10:F10"/>
    <mergeCell ref="A9:L9"/>
    <mergeCell ref="A11:A15"/>
    <mergeCell ref="A17:A23"/>
    <mergeCell ref="M7:M8"/>
    <mergeCell ref="L7:L8"/>
    <mergeCell ref="A7:A8"/>
    <mergeCell ref="B7:B8"/>
    <mergeCell ref="C7:C8"/>
    <mergeCell ref="D7:F8"/>
    <mergeCell ref="G7:K7"/>
  </mergeCells>
  <printOptions horizontalCentered="1"/>
  <pageMargins left="1.08" right="0.7" top="1.33" bottom="0.6" header="0.55000000000000004" footer="0.3"/>
  <pageSetup paperSize="9" orientation="landscape" horizontalDpi="300" verticalDpi="300" r:id="rId1"/>
  <headerFooter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O26"/>
  <sheetViews>
    <sheetView topLeftCell="A10" workbookViewId="0">
      <selection activeCell="E29" sqref="E29"/>
    </sheetView>
  </sheetViews>
  <sheetFormatPr defaultRowHeight="14.4"/>
  <cols>
    <col min="1" max="1" width="17" style="9" customWidth="1"/>
    <col min="2" max="2" width="9.6640625" style="10" customWidth="1"/>
    <col min="3" max="3" width="24.5546875" style="78" customWidth="1"/>
    <col min="4" max="4" width="25.88671875" style="120" customWidth="1"/>
    <col min="5" max="5" width="9.33203125" style="120" customWidth="1"/>
    <col min="6" max="6" width="18.44140625" style="120" customWidth="1"/>
    <col min="7" max="7" width="5" style="18" customWidth="1"/>
    <col min="8" max="9" width="4.5546875" style="18" customWidth="1"/>
    <col min="10" max="10" width="6.44140625" style="18" customWidth="1"/>
    <col min="11" max="11" width="5.109375" style="18" customWidth="1"/>
    <col min="12" max="12" width="8.88671875" style="10"/>
    <col min="13" max="13" width="22.88671875" bestFit="1" customWidth="1"/>
  </cols>
  <sheetData>
    <row r="1" spans="1:13">
      <c r="A1" s="19" t="s">
        <v>240</v>
      </c>
      <c r="B1" s="6"/>
      <c r="C1" s="121"/>
      <c r="D1" s="1" t="s">
        <v>146</v>
      </c>
      <c r="E1" s="1"/>
      <c r="F1" s="1"/>
      <c r="G1" s="6"/>
      <c r="H1" s="6"/>
      <c r="I1" s="6"/>
      <c r="J1" s="6"/>
      <c r="K1" s="6"/>
      <c r="L1" s="11"/>
      <c r="M1" s="51"/>
    </row>
    <row r="2" spans="1:13">
      <c r="A2" s="1"/>
      <c r="B2" s="6"/>
      <c r="C2" s="122"/>
      <c r="D2" s="1" t="s">
        <v>0</v>
      </c>
      <c r="E2" s="1">
        <f>B3*211*90</f>
        <v>3930930</v>
      </c>
      <c r="F2" s="1"/>
      <c r="G2" s="282"/>
      <c r="H2" s="282"/>
      <c r="I2" s="282"/>
      <c r="J2" s="113"/>
      <c r="K2" s="113"/>
      <c r="L2" s="11"/>
      <c r="M2" s="51"/>
    </row>
    <row r="3" spans="1:13">
      <c r="A3" s="19" t="s">
        <v>1</v>
      </c>
      <c r="B3" s="6">
        <v>207</v>
      </c>
      <c r="C3" s="122"/>
      <c r="D3" s="1" t="s">
        <v>2</v>
      </c>
      <c r="E3" s="1">
        <f>E2*2/3</f>
        <v>2620620</v>
      </c>
      <c r="F3" s="1"/>
      <c r="G3" s="283"/>
      <c r="H3" s="283"/>
      <c r="I3" s="283"/>
      <c r="J3" s="114"/>
      <c r="K3" s="114"/>
      <c r="L3" s="11"/>
      <c r="M3" s="51"/>
    </row>
    <row r="4" spans="1:13">
      <c r="A4" s="7"/>
      <c r="B4" s="5"/>
      <c r="C4" s="122"/>
      <c r="D4" s="1" t="s">
        <v>3</v>
      </c>
      <c r="E4" s="1">
        <f>SUM(E2:E3)</f>
        <v>6551550</v>
      </c>
      <c r="F4" s="1"/>
      <c r="G4" s="283"/>
      <c r="H4" s="283"/>
      <c r="I4" s="283"/>
      <c r="J4" s="114"/>
      <c r="K4" s="114"/>
      <c r="L4" s="11"/>
      <c r="M4" s="51"/>
    </row>
    <row r="5" spans="1:13">
      <c r="A5" s="7"/>
      <c r="B5" s="5"/>
      <c r="C5" s="122"/>
      <c r="D5" s="1" t="s">
        <v>4</v>
      </c>
      <c r="E5" s="1">
        <f>E4*0.06</f>
        <v>393093</v>
      </c>
      <c r="F5" s="1"/>
      <c r="G5" s="283"/>
      <c r="H5" s="283"/>
      <c r="I5" s="283"/>
      <c r="J5" s="114"/>
      <c r="K5" s="114"/>
      <c r="L5" s="11"/>
      <c r="M5" s="51"/>
    </row>
    <row r="6" spans="1:13">
      <c r="A6" s="7"/>
      <c r="B6" s="5"/>
      <c r="C6" s="122"/>
      <c r="D6" s="1" t="s">
        <v>5</v>
      </c>
      <c r="E6" s="1">
        <f>E5+E4</f>
        <v>6944643</v>
      </c>
      <c r="F6" s="1"/>
      <c r="G6" s="284"/>
      <c r="H6" s="284"/>
      <c r="I6" s="284"/>
      <c r="J6" s="115"/>
      <c r="K6" s="115"/>
      <c r="L6" s="11"/>
      <c r="M6" s="51"/>
    </row>
    <row r="7" spans="1:13" ht="21" customHeight="1">
      <c r="A7" s="187" t="s">
        <v>18</v>
      </c>
      <c r="B7" s="186" t="s">
        <v>14</v>
      </c>
      <c r="C7" s="184" t="s">
        <v>147</v>
      </c>
      <c r="D7" s="288" t="s">
        <v>7</v>
      </c>
      <c r="E7" s="289"/>
      <c r="F7" s="290"/>
      <c r="G7" s="234" t="s">
        <v>153</v>
      </c>
      <c r="H7" s="235"/>
      <c r="I7" s="235"/>
      <c r="J7" s="235"/>
      <c r="K7" s="236"/>
      <c r="L7" s="202" t="s">
        <v>144</v>
      </c>
      <c r="M7" s="200" t="s">
        <v>117</v>
      </c>
    </row>
    <row r="8" spans="1:13" ht="27" customHeight="1">
      <c r="A8" s="187"/>
      <c r="B8" s="186"/>
      <c r="C8" s="185"/>
      <c r="D8" s="291"/>
      <c r="E8" s="292"/>
      <c r="F8" s="293"/>
      <c r="G8" s="109" t="s">
        <v>148</v>
      </c>
      <c r="H8" s="109" t="s">
        <v>149</v>
      </c>
      <c r="I8" s="109" t="s">
        <v>150</v>
      </c>
      <c r="J8" s="109" t="s">
        <v>151</v>
      </c>
      <c r="K8" s="109" t="s">
        <v>152</v>
      </c>
      <c r="L8" s="203"/>
      <c r="M8" s="201"/>
    </row>
    <row r="9" spans="1:13" ht="14.4" customHeight="1">
      <c r="A9" s="189" t="s">
        <v>40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60"/>
    </row>
    <row r="10" spans="1:13" ht="14.4" customHeight="1">
      <c r="A10" s="281" t="s">
        <v>25</v>
      </c>
      <c r="B10" s="50">
        <v>1500</v>
      </c>
      <c r="C10" s="15" t="s">
        <v>11</v>
      </c>
      <c r="D10" s="228" t="s">
        <v>503</v>
      </c>
      <c r="E10" s="229"/>
      <c r="F10" s="230"/>
      <c r="G10" s="82">
        <v>1.5</v>
      </c>
      <c r="H10" s="21">
        <v>1.5</v>
      </c>
      <c r="I10" s="21">
        <v>1.2</v>
      </c>
      <c r="J10" s="21">
        <f t="shared" ref="J10" si="0">I10*H10*G10</f>
        <v>2.6999999999999997</v>
      </c>
      <c r="K10" s="106" t="s">
        <v>258</v>
      </c>
      <c r="L10" s="138">
        <f>((B10*211)+(B10*211*2/3))/100000</f>
        <v>5.2750000000000004</v>
      </c>
      <c r="M10" s="124" t="s">
        <v>536</v>
      </c>
    </row>
    <row r="11" spans="1:13" ht="15.6">
      <c r="A11" s="281"/>
      <c r="B11" s="50">
        <v>4000</v>
      </c>
      <c r="C11" s="15" t="s">
        <v>29</v>
      </c>
      <c r="D11" s="285" t="s">
        <v>504</v>
      </c>
      <c r="E11" s="286"/>
      <c r="F11" s="287"/>
      <c r="G11" s="111">
        <v>10</v>
      </c>
      <c r="H11" s="21">
        <v>10</v>
      </c>
      <c r="I11" s="21">
        <v>3</v>
      </c>
      <c r="J11" s="21">
        <f>I11*H11*G11</f>
        <v>300</v>
      </c>
      <c r="K11" s="106" t="s">
        <v>258</v>
      </c>
      <c r="L11" s="138">
        <f t="shared" ref="L11:L13" si="1">((B11*211)+(B11*211*2/3))/100000</f>
        <v>14.066666666666665</v>
      </c>
      <c r="M11" s="20" t="s">
        <v>537</v>
      </c>
    </row>
    <row r="12" spans="1:13" ht="15.6">
      <c r="A12" s="111" t="s">
        <v>26</v>
      </c>
      <c r="B12" s="50">
        <v>1500</v>
      </c>
      <c r="C12" s="15" t="s">
        <v>30</v>
      </c>
      <c r="D12" s="228" t="s">
        <v>505</v>
      </c>
      <c r="E12" s="229"/>
      <c r="F12" s="230"/>
      <c r="G12" s="119">
        <v>4000</v>
      </c>
      <c r="H12" s="21">
        <v>1</v>
      </c>
      <c r="I12" s="21">
        <v>1.2</v>
      </c>
      <c r="J12" s="21">
        <f>I12*H12*G12</f>
        <v>4800</v>
      </c>
      <c r="K12" s="106" t="s">
        <v>258</v>
      </c>
      <c r="L12" s="138">
        <f t="shared" si="1"/>
        <v>5.2750000000000004</v>
      </c>
      <c r="M12" s="95" t="s">
        <v>538</v>
      </c>
    </row>
    <row r="13" spans="1:13" ht="15.6">
      <c r="A13" s="110" t="s">
        <v>8</v>
      </c>
      <c r="B13" s="107">
        <v>3000</v>
      </c>
      <c r="C13" s="15" t="s">
        <v>38</v>
      </c>
      <c r="D13" s="285" t="s">
        <v>499</v>
      </c>
      <c r="E13" s="245"/>
      <c r="F13" s="246"/>
      <c r="G13" s="111">
        <v>1000</v>
      </c>
      <c r="H13" s="111">
        <v>1.5</v>
      </c>
      <c r="I13" s="111">
        <v>1</v>
      </c>
      <c r="J13" s="21">
        <f>I13*H13*G13</f>
        <v>1500</v>
      </c>
      <c r="K13" s="106" t="s">
        <v>258</v>
      </c>
      <c r="L13" s="138">
        <f t="shared" si="1"/>
        <v>10.55</v>
      </c>
      <c r="M13" s="124" t="s">
        <v>539</v>
      </c>
    </row>
    <row r="14" spans="1:13" ht="14.4" customHeight="1">
      <c r="A14" s="237" t="s">
        <v>39</v>
      </c>
      <c r="B14" s="238"/>
      <c r="C14" s="238"/>
      <c r="D14" s="238"/>
      <c r="E14" s="238"/>
      <c r="F14" s="238"/>
      <c r="G14" s="238"/>
      <c r="H14" s="238"/>
      <c r="I14" s="238"/>
      <c r="J14" s="238"/>
      <c r="K14" s="238"/>
      <c r="L14" s="239"/>
      <c r="M14" s="61"/>
    </row>
    <row r="15" spans="1:13" ht="43.2">
      <c r="A15" s="108" t="s">
        <v>41</v>
      </c>
      <c r="B15" s="50">
        <v>1000</v>
      </c>
      <c r="C15" s="14" t="s">
        <v>48</v>
      </c>
      <c r="D15" s="207" t="s">
        <v>501</v>
      </c>
      <c r="E15" s="294"/>
      <c r="F15" s="274"/>
      <c r="G15" s="222" t="s">
        <v>502</v>
      </c>
      <c r="H15" s="223"/>
      <c r="I15" s="223"/>
      <c r="J15" s="223"/>
      <c r="K15" s="224"/>
      <c r="L15" s="138">
        <f>((B15*211)+(B15*211*2/3))/100000</f>
        <v>3.5166666666666662</v>
      </c>
      <c r="M15" s="124" t="s">
        <v>540</v>
      </c>
    </row>
    <row r="16" spans="1:13" ht="28.8">
      <c r="A16" s="108" t="s">
        <v>45</v>
      </c>
      <c r="B16" s="50">
        <v>500</v>
      </c>
      <c r="C16" s="14" t="s">
        <v>67</v>
      </c>
      <c r="D16" s="207" t="s">
        <v>510</v>
      </c>
      <c r="E16" s="294"/>
      <c r="F16" s="274"/>
      <c r="G16" s="112">
        <v>3</v>
      </c>
      <c r="H16" s="21">
        <v>1.8</v>
      </c>
      <c r="I16" s="21">
        <v>1.8</v>
      </c>
      <c r="J16" s="21">
        <f>I16*H16*G16</f>
        <v>9.7200000000000006</v>
      </c>
      <c r="K16" s="106" t="s">
        <v>258</v>
      </c>
      <c r="L16" s="138">
        <f t="shared" ref="L16:L17" si="2">((B16*211)+(B16*211*2/3))/100000</f>
        <v>1.7583333333333331</v>
      </c>
      <c r="M16" s="124" t="s">
        <v>541</v>
      </c>
    </row>
    <row r="17" spans="1:15" ht="28.8">
      <c r="A17" s="108" t="s">
        <v>46</v>
      </c>
      <c r="B17" s="50">
        <v>2888</v>
      </c>
      <c r="C17" s="28" t="s">
        <v>154</v>
      </c>
      <c r="D17" s="285" t="s">
        <v>500</v>
      </c>
      <c r="E17" s="245"/>
      <c r="F17" s="246"/>
      <c r="G17" s="112"/>
      <c r="H17" s="21"/>
      <c r="I17" s="21"/>
      <c r="J17" s="21"/>
      <c r="K17" s="21"/>
      <c r="L17" s="138">
        <f t="shared" si="2"/>
        <v>10.156133333333333</v>
      </c>
      <c r="M17" s="124" t="s">
        <v>542</v>
      </c>
    </row>
    <row r="18" spans="1:15">
      <c r="A18" s="237" t="s">
        <v>71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38"/>
      <c r="L18" s="239"/>
      <c r="M18" s="20"/>
    </row>
    <row r="19" spans="1:15" ht="57.6">
      <c r="A19" s="108" t="s">
        <v>73</v>
      </c>
      <c r="B19" s="50">
        <v>1000</v>
      </c>
      <c r="C19" s="14" t="s">
        <v>74</v>
      </c>
      <c r="D19" s="228" t="s">
        <v>505</v>
      </c>
      <c r="E19" s="229"/>
      <c r="F19" s="230"/>
      <c r="G19" s="112">
        <v>6</v>
      </c>
      <c r="H19" s="21">
        <v>4.5</v>
      </c>
      <c r="I19" s="21"/>
      <c r="J19" s="21">
        <f>H19*G19</f>
        <v>27</v>
      </c>
      <c r="K19" s="106" t="s">
        <v>467</v>
      </c>
      <c r="L19" s="138">
        <f>((B19*211)+(B19*211*2/3))/100000</f>
        <v>3.5166666666666662</v>
      </c>
      <c r="M19" s="124" t="s">
        <v>543</v>
      </c>
    </row>
    <row r="20" spans="1:15">
      <c r="A20" s="240" t="s">
        <v>77</v>
      </c>
      <c r="B20" s="241"/>
      <c r="C20" s="241"/>
      <c r="D20" s="241"/>
      <c r="E20" s="241"/>
      <c r="F20" s="241"/>
      <c r="G20" s="241"/>
      <c r="H20" s="241"/>
      <c r="I20" s="241"/>
      <c r="J20" s="241"/>
      <c r="K20" s="241"/>
      <c r="L20" s="242"/>
      <c r="M20" s="20"/>
    </row>
    <row r="21" spans="1:15" ht="15.6">
      <c r="A21" s="108" t="s">
        <v>78</v>
      </c>
      <c r="B21" s="50">
        <v>742</v>
      </c>
      <c r="C21" s="28" t="s">
        <v>414</v>
      </c>
      <c r="D21" s="207" t="s">
        <v>509</v>
      </c>
      <c r="E21" s="208"/>
      <c r="F21" s="209"/>
      <c r="G21" s="112">
        <v>2</v>
      </c>
      <c r="H21" s="21">
        <v>1.2</v>
      </c>
      <c r="I21" s="21"/>
      <c r="J21" s="21">
        <f>H21*G21</f>
        <v>2.4</v>
      </c>
      <c r="K21" s="106" t="s">
        <v>467</v>
      </c>
      <c r="L21" s="138">
        <f>((B21*211)+(B21*211*2/3))/100000</f>
        <v>2.6093666666666668</v>
      </c>
      <c r="M21" s="95" t="s">
        <v>544</v>
      </c>
      <c r="O21">
        <f>20*0.12</f>
        <v>2.4</v>
      </c>
    </row>
    <row r="22" spans="1:15" ht="28.8">
      <c r="A22" s="53" t="s">
        <v>80</v>
      </c>
      <c r="B22" s="50">
        <v>500</v>
      </c>
      <c r="C22" s="25" t="s">
        <v>101</v>
      </c>
      <c r="D22" s="228" t="s">
        <v>505</v>
      </c>
      <c r="E22" s="229"/>
      <c r="F22" s="230"/>
      <c r="G22" s="108">
        <v>100</v>
      </c>
      <c r="H22" s="21">
        <v>50</v>
      </c>
      <c r="I22" s="21">
        <v>0.3</v>
      </c>
      <c r="J22" s="21">
        <f>I22*H22*G22</f>
        <v>1500</v>
      </c>
      <c r="K22" s="106" t="s">
        <v>258</v>
      </c>
      <c r="L22" s="138">
        <f t="shared" ref="L22:L24" si="3">((B22*211)+(B22*211*2/3))/100000</f>
        <v>1.7583333333333331</v>
      </c>
      <c r="M22" s="124" t="s">
        <v>535</v>
      </c>
    </row>
    <row r="23" spans="1:15" ht="15.6">
      <c r="A23" s="211" t="s">
        <v>81</v>
      </c>
      <c r="B23" s="50">
        <v>500</v>
      </c>
      <c r="C23" s="28" t="s">
        <v>507</v>
      </c>
      <c r="D23" s="207" t="s">
        <v>508</v>
      </c>
      <c r="E23" s="294"/>
      <c r="F23" s="274"/>
      <c r="G23" s="112">
        <v>500</v>
      </c>
      <c r="H23" s="21">
        <v>0.5</v>
      </c>
      <c r="I23" s="21">
        <v>0.5</v>
      </c>
      <c r="J23" s="21">
        <f>I23*H23*G23</f>
        <v>125</v>
      </c>
      <c r="K23" s="106" t="s">
        <v>258</v>
      </c>
      <c r="L23" s="138">
        <f t="shared" si="3"/>
        <v>1.7583333333333331</v>
      </c>
      <c r="M23" s="96" t="s">
        <v>534</v>
      </c>
    </row>
    <row r="24" spans="1:15" ht="15.6">
      <c r="A24" s="211"/>
      <c r="B24" s="50">
        <v>1500</v>
      </c>
      <c r="C24" s="28" t="s">
        <v>113</v>
      </c>
      <c r="D24" s="207" t="s">
        <v>506</v>
      </c>
      <c r="E24" s="294"/>
      <c r="F24" s="274"/>
      <c r="G24" s="43">
        <v>50</v>
      </c>
      <c r="H24" s="21">
        <f>I24/6+0.45</f>
        <v>0.95</v>
      </c>
      <c r="I24" s="21">
        <v>3</v>
      </c>
      <c r="J24" s="21">
        <f>I24*H24*G24</f>
        <v>142.49999999999997</v>
      </c>
      <c r="K24" s="106" t="s">
        <v>258</v>
      </c>
      <c r="L24" s="138">
        <f t="shared" si="3"/>
        <v>5.2750000000000004</v>
      </c>
      <c r="M24" s="95" t="s">
        <v>533</v>
      </c>
    </row>
    <row r="25" spans="1:15">
      <c r="B25" s="10">
        <f>SUM(B10:B24)</f>
        <v>18630</v>
      </c>
      <c r="L25" s="10">
        <f>SUM(L10:L24)</f>
        <v>65.515500000000003</v>
      </c>
    </row>
    <row r="26" spans="1:15">
      <c r="B26" s="26">
        <f>B3*90</f>
        <v>18630</v>
      </c>
      <c r="L26" s="26">
        <f>E4/100000</f>
        <v>65.515500000000003</v>
      </c>
    </row>
  </sheetData>
  <mergeCells count="31">
    <mergeCell ref="D19:F19"/>
    <mergeCell ref="D16:F16"/>
    <mergeCell ref="D15:F15"/>
    <mergeCell ref="D12:F12"/>
    <mergeCell ref="A23:A24"/>
    <mergeCell ref="A20:L20"/>
    <mergeCell ref="D22:F22"/>
    <mergeCell ref="D23:F23"/>
    <mergeCell ref="D24:F24"/>
    <mergeCell ref="D21:F21"/>
    <mergeCell ref="A18:L18"/>
    <mergeCell ref="D17:F17"/>
    <mergeCell ref="A14:L14"/>
    <mergeCell ref="D13:F13"/>
    <mergeCell ref="G15:K15"/>
    <mergeCell ref="M7:M8"/>
    <mergeCell ref="A10:A11"/>
    <mergeCell ref="G2:I2"/>
    <mergeCell ref="G3:I3"/>
    <mergeCell ref="G4:I4"/>
    <mergeCell ref="G5:I5"/>
    <mergeCell ref="G6:I6"/>
    <mergeCell ref="D10:F10"/>
    <mergeCell ref="D11:F11"/>
    <mergeCell ref="L7:L8"/>
    <mergeCell ref="A9:L9"/>
    <mergeCell ref="A7:A8"/>
    <mergeCell ref="B7:B8"/>
    <mergeCell ref="C7:C8"/>
    <mergeCell ref="D7:F8"/>
    <mergeCell ref="G7:K7"/>
  </mergeCells>
  <printOptions horizontalCentered="1"/>
  <pageMargins left="0.9" right="0.49" top="1.1041666666666701" bottom="0.75" header="0.3" footer="0.3"/>
  <pageSetup paperSize="9" orientation="landscape" horizontalDpi="300" verticalDpi="300" r:id="rId1"/>
  <headerFooter>
    <oddHeader>&amp;C&amp;G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P51"/>
  <sheetViews>
    <sheetView topLeftCell="A16" workbookViewId="0">
      <selection activeCell="E31" sqref="E31"/>
    </sheetView>
  </sheetViews>
  <sheetFormatPr defaultRowHeight="14.4"/>
  <cols>
    <col min="1" max="1" width="17" style="9" customWidth="1"/>
    <col min="2" max="2" width="9.6640625" style="10" customWidth="1"/>
    <col min="3" max="3" width="24.5546875" customWidth="1"/>
    <col min="4" max="4" width="25.88671875" style="3" customWidth="1"/>
    <col min="5" max="5" width="9.33203125" style="3" customWidth="1"/>
    <col min="6" max="6" width="18.44140625" style="3" customWidth="1"/>
    <col min="7" max="7" width="5" style="18" customWidth="1"/>
    <col min="8" max="9" width="4.5546875" style="18" customWidth="1"/>
    <col min="10" max="10" width="6.44140625" style="18" customWidth="1"/>
    <col min="11" max="11" width="5.109375" style="18" customWidth="1"/>
    <col min="12" max="12" width="8.88671875" style="59"/>
    <col min="13" max="13" width="22.6640625" bestFit="1" customWidth="1"/>
  </cols>
  <sheetData>
    <row r="1" spans="1:14">
      <c r="A1" s="19" t="s">
        <v>241</v>
      </c>
      <c r="B1" s="6"/>
      <c r="C1" s="16"/>
      <c r="D1" s="16" t="s">
        <v>146</v>
      </c>
      <c r="E1" s="16"/>
      <c r="F1" s="16"/>
      <c r="G1" s="16"/>
      <c r="H1" s="16"/>
      <c r="I1" s="16"/>
      <c r="J1" s="16"/>
      <c r="K1" s="16"/>
      <c r="L1" s="63"/>
      <c r="M1" s="51"/>
    </row>
    <row r="2" spans="1:14">
      <c r="A2" s="1"/>
      <c r="B2" s="6"/>
      <c r="C2" s="2"/>
      <c r="D2" s="2" t="s">
        <v>0</v>
      </c>
      <c r="E2" s="19">
        <f>B3*211*90</f>
        <v>2373750</v>
      </c>
      <c r="F2" s="2"/>
      <c r="G2" s="204"/>
      <c r="H2" s="204"/>
      <c r="I2" s="204"/>
      <c r="J2" s="56"/>
      <c r="K2" s="56"/>
      <c r="L2" s="63"/>
      <c r="M2" s="51"/>
    </row>
    <row r="3" spans="1:14">
      <c r="A3" s="19" t="s">
        <v>1</v>
      </c>
      <c r="B3" s="6">
        <v>125</v>
      </c>
      <c r="C3" s="2"/>
      <c r="D3" s="2" t="s">
        <v>2</v>
      </c>
      <c r="E3" s="19">
        <f>E2*2/3</f>
        <v>1582500</v>
      </c>
      <c r="F3" s="2"/>
      <c r="G3" s="205"/>
      <c r="H3" s="205"/>
      <c r="I3" s="205"/>
      <c r="J3" s="57"/>
      <c r="K3" s="57"/>
      <c r="L3" s="63"/>
      <c r="M3" s="51"/>
    </row>
    <row r="4" spans="1:14">
      <c r="A4" s="7"/>
      <c r="B4" s="5"/>
      <c r="C4" s="2"/>
      <c r="D4" s="2" t="s">
        <v>3</v>
      </c>
      <c r="E4" s="19">
        <f>SUM(E2:E3)</f>
        <v>3956250</v>
      </c>
      <c r="F4" s="2"/>
      <c r="G4" s="205"/>
      <c r="H4" s="205"/>
      <c r="I4" s="205"/>
      <c r="J4" s="57"/>
      <c r="K4" s="57"/>
      <c r="L4" s="63"/>
      <c r="M4" s="51"/>
    </row>
    <row r="5" spans="1:14">
      <c r="A5" s="7"/>
      <c r="B5" s="5"/>
      <c r="C5" s="2"/>
      <c r="D5" s="2" t="s">
        <v>4</v>
      </c>
      <c r="E5" s="19">
        <f>E4*0.06</f>
        <v>237375</v>
      </c>
      <c r="F5" s="2"/>
      <c r="G5" s="205"/>
      <c r="H5" s="205"/>
      <c r="I5" s="205"/>
      <c r="J5" s="57"/>
      <c r="K5" s="57"/>
      <c r="L5" s="63"/>
      <c r="M5" s="51"/>
    </row>
    <row r="6" spans="1:14">
      <c r="A6" s="7"/>
      <c r="B6" s="5"/>
      <c r="C6" s="2"/>
      <c r="D6" s="2" t="s">
        <v>5</v>
      </c>
      <c r="E6" s="19">
        <f>E5+E4</f>
        <v>4193625</v>
      </c>
      <c r="F6" s="2"/>
      <c r="G6" s="206"/>
      <c r="H6" s="206"/>
      <c r="I6" s="206"/>
      <c r="J6" s="58"/>
      <c r="K6" s="58"/>
      <c r="L6" s="63"/>
      <c r="M6" s="51"/>
    </row>
    <row r="7" spans="1:14" ht="21" customHeight="1">
      <c r="A7" s="187" t="s">
        <v>18</v>
      </c>
      <c r="B7" s="186" t="s">
        <v>14</v>
      </c>
      <c r="C7" s="184" t="s">
        <v>147</v>
      </c>
      <c r="D7" s="193" t="s">
        <v>7</v>
      </c>
      <c r="E7" s="194"/>
      <c r="F7" s="184"/>
      <c r="G7" s="234" t="s">
        <v>153</v>
      </c>
      <c r="H7" s="235"/>
      <c r="I7" s="235"/>
      <c r="J7" s="235"/>
      <c r="K7" s="236"/>
      <c r="L7" s="202" t="s">
        <v>144</v>
      </c>
      <c r="M7" s="200" t="s">
        <v>117</v>
      </c>
    </row>
    <row r="8" spans="1:14" ht="27" customHeight="1">
      <c r="A8" s="187"/>
      <c r="B8" s="186"/>
      <c r="C8" s="185"/>
      <c r="D8" s="195"/>
      <c r="E8" s="196"/>
      <c r="F8" s="185"/>
      <c r="G8" s="52" t="s">
        <v>148</v>
      </c>
      <c r="H8" s="52" t="s">
        <v>149</v>
      </c>
      <c r="I8" s="52" t="s">
        <v>150</v>
      </c>
      <c r="J8" s="52" t="s">
        <v>151</v>
      </c>
      <c r="K8" s="52" t="s">
        <v>152</v>
      </c>
      <c r="L8" s="203"/>
      <c r="M8" s="201"/>
    </row>
    <row r="9" spans="1:14" ht="14.4" customHeight="1">
      <c r="A9" s="189" t="s">
        <v>40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60"/>
    </row>
    <row r="10" spans="1:14" ht="14.4" customHeight="1">
      <c r="A10" s="281" t="s">
        <v>25</v>
      </c>
      <c r="B10" s="132">
        <v>465</v>
      </c>
      <c r="C10" s="304" t="s">
        <v>11</v>
      </c>
      <c r="D10" s="272" t="s">
        <v>381</v>
      </c>
      <c r="E10" s="297"/>
      <c r="F10" s="273"/>
      <c r="G10" s="82">
        <v>4</v>
      </c>
      <c r="H10" s="21">
        <v>4</v>
      </c>
      <c r="I10" s="21">
        <v>2</v>
      </c>
      <c r="J10" s="21">
        <f t="shared" ref="J10:J14" si="0">I10*H10*G10</f>
        <v>32</v>
      </c>
      <c r="K10" s="98" t="s">
        <v>258</v>
      </c>
      <c r="L10" s="144">
        <f>((B10*211)+(B10*211*2/3))/100000</f>
        <v>1.6352500000000001</v>
      </c>
      <c r="M10" s="94" t="s">
        <v>546</v>
      </c>
      <c r="N10">
        <f>J10*10000</f>
        <v>320000</v>
      </c>
    </row>
    <row r="11" spans="1:14" ht="14.4" customHeight="1">
      <c r="A11" s="281"/>
      <c r="B11" s="132">
        <v>465</v>
      </c>
      <c r="C11" s="305"/>
      <c r="D11" s="270" t="s">
        <v>382</v>
      </c>
      <c r="E11" s="279"/>
      <c r="F11" s="278"/>
      <c r="G11" s="101">
        <v>3.5</v>
      </c>
      <c r="H11" s="21">
        <v>3</v>
      </c>
      <c r="I11" s="21">
        <v>2</v>
      </c>
      <c r="J11" s="21">
        <f t="shared" si="0"/>
        <v>21</v>
      </c>
      <c r="K11" s="98" t="s">
        <v>258</v>
      </c>
      <c r="L11" s="146">
        <f t="shared" ref="L11:L24" si="1">((B11*211)+(B11*211*2/3))/100000</f>
        <v>1.6352500000000001</v>
      </c>
      <c r="M11" s="94"/>
      <c r="N11">
        <f t="shared" ref="N11:N14" si="2">J11*10000</f>
        <v>210000</v>
      </c>
    </row>
    <row r="12" spans="1:14" ht="14.4" customHeight="1">
      <c r="A12" s="281"/>
      <c r="B12" s="132">
        <v>465</v>
      </c>
      <c r="C12" s="305"/>
      <c r="D12" s="298" t="s">
        <v>384</v>
      </c>
      <c r="E12" s="299"/>
      <c r="F12" s="300"/>
      <c r="G12" s="101">
        <v>2.5</v>
      </c>
      <c r="H12" s="21">
        <v>2.5</v>
      </c>
      <c r="I12" s="21">
        <v>1.6</v>
      </c>
      <c r="J12" s="21">
        <f t="shared" si="0"/>
        <v>10</v>
      </c>
      <c r="K12" s="98" t="s">
        <v>258</v>
      </c>
      <c r="L12" s="146">
        <f t="shared" si="1"/>
        <v>1.6352500000000001</v>
      </c>
      <c r="M12" s="94"/>
      <c r="N12">
        <f t="shared" si="2"/>
        <v>100000</v>
      </c>
    </row>
    <row r="13" spans="1:14" ht="14.4" customHeight="1">
      <c r="A13" s="281"/>
      <c r="B13" s="132">
        <v>465</v>
      </c>
      <c r="C13" s="305"/>
      <c r="D13" s="247" t="s">
        <v>386</v>
      </c>
      <c r="E13" s="248"/>
      <c r="F13" s="249"/>
      <c r="G13" s="100">
        <v>1.4</v>
      </c>
      <c r="H13" s="21">
        <v>1.2</v>
      </c>
      <c r="I13" s="21">
        <v>1.2</v>
      </c>
      <c r="J13" s="21">
        <f t="shared" si="0"/>
        <v>2.016</v>
      </c>
      <c r="K13" s="98" t="s">
        <v>258</v>
      </c>
      <c r="L13" s="146">
        <f t="shared" si="1"/>
        <v>1.6352500000000001</v>
      </c>
      <c r="M13" s="94"/>
      <c r="N13">
        <f t="shared" si="2"/>
        <v>20160</v>
      </c>
    </row>
    <row r="14" spans="1:14" ht="14.4" customHeight="1">
      <c r="A14" s="281"/>
      <c r="B14" s="132">
        <v>465</v>
      </c>
      <c r="C14" s="306"/>
      <c r="D14" s="301" t="s">
        <v>391</v>
      </c>
      <c r="E14" s="302"/>
      <c r="F14" s="303"/>
      <c r="G14" s="100">
        <v>3</v>
      </c>
      <c r="H14" s="21">
        <v>3</v>
      </c>
      <c r="I14" s="21">
        <v>3</v>
      </c>
      <c r="J14" s="21">
        <f t="shared" si="0"/>
        <v>27</v>
      </c>
      <c r="K14" s="98" t="s">
        <v>258</v>
      </c>
      <c r="L14" s="146">
        <f t="shared" si="1"/>
        <v>1.6352500000000001</v>
      </c>
      <c r="M14" s="94"/>
      <c r="N14">
        <f t="shared" si="2"/>
        <v>270000</v>
      </c>
    </row>
    <row r="15" spans="1:14" ht="15.6">
      <c r="A15" s="281" t="s">
        <v>13</v>
      </c>
      <c r="B15" s="50">
        <v>125</v>
      </c>
      <c r="C15" s="12" t="s">
        <v>9</v>
      </c>
      <c r="D15" s="307" t="s">
        <v>385</v>
      </c>
      <c r="E15" s="280"/>
      <c r="F15" s="271"/>
      <c r="G15" s="222" t="s">
        <v>475</v>
      </c>
      <c r="H15" s="223"/>
      <c r="I15" s="223"/>
      <c r="J15" s="223"/>
      <c r="K15" s="224"/>
      <c r="L15" s="146">
        <f t="shared" si="1"/>
        <v>0.43958333333333327</v>
      </c>
      <c r="M15" s="20" t="s">
        <v>547</v>
      </c>
    </row>
    <row r="16" spans="1:14" ht="15.6">
      <c r="A16" s="281"/>
      <c r="B16" s="50">
        <v>125</v>
      </c>
      <c r="C16" s="13" t="s">
        <v>548</v>
      </c>
      <c r="D16" s="270" t="s">
        <v>389</v>
      </c>
      <c r="E16" s="280"/>
      <c r="F16" s="271"/>
      <c r="G16" s="222" t="s">
        <v>476</v>
      </c>
      <c r="H16" s="223"/>
      <c r="I16" s="223"/>
      <c r="J16" s="223"/>
      <c r="K16" s="224"/>
      <c r="L16" s="146">
        <f t="shared" si="1"/>
        <v>0.43958333333333327</v>
      </c>
      <c r="M16" s="95" t="s">
        <v>549</v>
      </c>
    </row>
    <row r="17" spans="1:16" ht="15.75" customHeight="1">
      <c r="A17" s="190" t="s">
        <v>8</v>
      </c>
      <c r="B17" s="126">
        <v>260</v>
      </c>
      <c r="C17" s="15" t="s">
        <v>38</v>
      </c>
      <c r="D17" s="247" t="s">
        <v>364</v>
      </c>
      <c r="E17" s="248"/>
      <c r="F17" s="249"/>
      <c r="G17" s="29">
        <v>1000</v>
      </c>
      <c r="H17" s="29">
        <v>1.5</v>
      </c>
      <c r="I17" s="29">
        <v>1</v>
      </c>
      <c r="J17" s="21">
        <f>I17*H17*G17</f>
        <v>1500</v>
      </c>
      <c r="K17" s="50" t="s">
        <v>258</v>
      </c>
      <c r="L17" s="146">
        <f t="shared" si="1"/>
        <v>0.91433333333333344</v>
      </c>
      <c r="M17" s="94" t="s">
        <v>550</v>
      </c>
    </row>
    <row r="18" spans="1:16" ht="14.4" customHeight="1">
      <c r="A18" s="191"/>
      <c r="B18" s="126">
        <v>260</v>
      </c>
      <c r="C18" s="15" t="s">
        <v>38</v>
      </c>
      <c r="D18" s="247" t="s">
        <v>365</v>
      </c>
      <c r="E18" s="248"/>
      <c r="F18" s="249"/>
      <c r="G18" s="29">
        <v>1200</v>
      </c>
      <c r="H18" s="29">
        <v>1.5</v>
      </c>
      <c r="I18" s="29">
        <v>1</v>
      </c>
      <c r="J18" s="21">
        <f t="shared" ref="J18:J24" si="3">I18*H18*G18</f>
        <v>1800</v>
      </c>
      <c r="K18" s="50" t="s">
        <v>258</v>
      </c>
      <c r="L18" s="146">
        <f t="shared" si="1"/>
        <v>0.91433333333333344</v>
      </c>
      <c r="M18" s="94"/>
      <c r="P18">
        <f>4000/8</f>
        <v>500</v>
      </c>
    </row>
    <row r="19" spans="1:16" ht="14.4" customHeight="1">
      <c r="A19" s="191"/>
      <c r="B19" s="126">
        <v>260</v>
      </c>
      <c r="C19" s="178" t="s">
        <v>38</v>
      </c>
      <c r="D19" s="308" t="s">
        <v>366</v>
      </c>
      <c r="E19" s="309"/>
      <c r="F19" s="310"/>
      <c r="G19" s="29">
        <v>1200</v>
      </c>
      <c r="H19" s="29">
        <v>1.5</v>
      </c>
      <c r="I19" s="29">
        <v>1</v>
      </c>
      <c r="J19" s="21">
        <f t="shared" si="3"/>
        <v>1800</v>
      </c>
      <c r="K19" s="50" t="s">
        <v>258</v>
      </c>
      <c r="L19" s="146">
        <f t="shared" si="1"/>
        <v>0.91433333333333344</v>
      </c>
      <c r="M19" s="94"/>
    </row>
    <row r="20" spans="1:16" ht="14.4" customHeight="1">
      <c r="A20" s="191"/>
      <c r="B20" s="126">
        <v>260</v>
      </c>
      <c r="C20" s="15" t="s">
        <v>38</v>
      </c>
      <c r="D20" s="247" t="s">
        <v>367</v>
      </c>
      <c r="E20" s="248"/>
      <c r="F20" s="249"/>
      <c r="G20" s="29">
        <v>900</v>
      </c>
      <c r="H20" s="29">
        <v>1.5</v>
      </c>
      <c r="I20" s="29">
        <v>1</v>
      </c>
      <c r="J20" s="21">
        <f t="shared" si="3"/>
        <v>1350</v>
      </c>
      <c r="K20" s="50" t="s">
        <v>258</v>
      </c>
      <c r="L20" s="146">
        <f t="shared" si="1"/>
        <v>0.91433333333333344</v>
      </c>
      <c r="M20" s="94"/>
    </row>
    <row r="21" spans="1:16" ht="14.4" customHeight="1">
      <c r="A21" s="191"/>
      <c r="B21" s="126">
        <v>260</v>
      </c>
      <c r="C21" s="15" t="s">
        <v>38</v>
      </c>
      <c r="D21" s="247" t="s">
        <v>368</v>
      </c>
      <c r="E21" s="248"/>
      <c r="F21" s="249"/>
      <c r="G21" s="29">
        <v>1000</v>
      </c>
      <c r="H21" s="29">
        <v>1.5</v>
      </c>
      <c r="I21" s="29">
        <v>1</v>
      </c>
      <c r="J21" s="21">
        <f t="shared" si="3"/>
        <v>1500</v>
      </c>
      <c r="K21" s="50" t="s">
        <v>258</v>
      </c>
      <c r="L21" s="146">
        <f t="shared" si="1"/>
        <v>0.91433333333333344</v>
      </c>
      <c r="M21" s="94"/>
    </row>
    <row r="22" spans="1:16" ht="14.4" customHeight="1">
      <c r="A22" s="191"/>
      <c r="B22" s="126">
        <v>260</v>
      </c>
      <c r="C22" s="15" t="s">
        <v>38</v>
      </c>
      <c r="D22" s="247" t="s">
        <v>369</v>
      </c>
      <c r="E22" s="248"/>
      <c r="F22" s="249"/>
      <c r="G22" s="29">
        <v>900</v>
      </c>
      <c r="H22" s="29">
        <v>1.5</v>
      </c>
      <c r="I22" s="29">
        <v>1</v>
      </c>
      <c r="J22" s="21">
        <f t="shared" si="3"/>
        <v>1350</v>
      </c>
      <c r="K22" s="50" t="s">
        <v>258</v>
      </c>
      <c r="L22" s="146">
        <f t="shared" si="1"/>
        <v>0.91433333333333344</v>
      </c>
      <c r="M22" s="94"/>
    </row>
    <row r="23" spans="1:16" ht="14.4" customHeight="1">
      <c r="A23" s="191"/>
      <c r="B23" s="126">
        <v>260</v>
      </c>
      <c r="C23" s="15" t="s">
        <v>38</v>
      </c>
      <c r="D23" s="247" t="s">
        <v>370</v>
      </c>
      <c r="E23" s="248"/>
      <c r="F23" s="249"/>
      <c r="G23" s="29">
        <v>800</v>
      </c>
      <c r="H23" s="29">
        <v>1.5</v>
      </c>
      <c r="I23" s="29">
        <v>1</v>
      </c>
      <c r="J23" s="21">
        <f t="shared" si="3"/>
        <v>1200</v>
      </c>
      <c r="K23" s="50" t="s">
        <v>258</v>
      </c>
      <c r="L23" s="146">
        <f t="shared" si="1"/>
        <v>0.91433333333333344</v>
      </c>
      <c r="M23" s="94"/>
    </row>
    <row r="24" spans="1:16" ht="14.4" customHeight="1">
      <c r="A24" s="192"/>
      <c r="B24" s="126">
        <v>260</v>
      </c>
      <c r="C24" s="183" t="s">
        <v>606</v>
      </c>
      <c r="D24" s="308" t="s">
        <v>371</v>
      </c>
      <c r="E24" s="309"/>
      <c r="F24" s="310"/>
      <c r="G24" s="29">
        <v>1000</v>
      </c>
      <c r="H24" s="29">
        <v>1.5</v>
      </c>
      <c r="I24" s="29">
        <v>1</v>
      </c>
      <c r="J24" s="21">
        <f t="shared" si="3"/>
        <v>1500</v>
      </c>
      <c r="K24" s="50" t="s">
        <v>258</v>
      </c>
      <c r="L24" s="146">
        <f t="shared" si="1"/>
        <v>0.91433333333333344</v>
      </c>
      <c r="M24" s="94"/>
    </row>
    <row r="25" spans="1:16" ht="14.4" customHeight="1">
      <c r="A25" s="237" t="s">
        <v>39</v>
      </c>
      <c r="B25" s="238"/>
      <c r="C25" s="238"/>
      <c r="D25" s="238"/>
      <c r="E25" s="238"/>
      <c r="F25" s="238"/>
      <c r="G25" s="238"/>
      <c r="H25" s="238"/>
      <c r="I25" s="238"/>
      <c r="J25" s="238"/>
      <c r="K25" s="238"/>
      <c r="L25" s="239"/>
      <c r="M25" s="61"/>
    </row>
    <row r="26" spans="1:16" ht="14.4" customHeight="1">
      <c r="A26" s="211" t="s">
        <v>41</v>
      </c>
      <c r="B26" s="126">
        <v>125</v>
      </c>
      <c r="C26" s="275" t="s">
        <v>48</v>
      </c>
      <c r="D26" s="12" t="s">
        <v>380</v>
      </c>
      <c r="E26" s="12"/>
      <c r="F26" s="12"/>
      <c r="G26" s="250" t="s">
        <v>477</v>
      </c>
      <c r="H26" s="260"/>
      <c r="I26" s="260"/>
      <c r="J26" s="260"/>
      <c r="K26" s="251"/>
      <c r="L26" s="138">
        <f>((B26*211)+(B26*211*2/3))/100000</f>
        <v>0.43958333333333327</v>
      </c>
      <c r="M26" s="133" t="s">
        <v>551</v>
      </c>
    </row>
    <row r="27" spans="1:16" ht="14.4" customHeight="1">
      <c r="A27" s="211"/>
      <c r="B27" s="126">
        <v>125</v>
      </c>
      <c r="C27" s="277"/>
      <c r="D27" s="12" t="s">
        <v>379</v>
      </c>
      <c r="E27" s="12"/>
      <c r="F27" s="12"/>
      <c r="G27" s="250" t="s">
        <v>477</v>
      </c>
      <c r="H27" s="260"/>
      <c r="I27" s="260"/>
      <c r="J27" s="260"/>
      <c r="K27" s="251"/>
      <c r="L27" s="138">
        <f t="shared" ref="L27:L38" si="4">((B27*211)+(B27*211*2/3))/100000</f>
        <v>0.43958333333333327</v>
      </c>
      <c r="M27" s="133"/>
    </row>
    <row r="28" spans="1:16" ht="14.4" customHeight="1">
      <c r="A28" s="211" t="s">
        <v>45</v>
      </c>
      <c r="B28" s="126">
        <v>125</v>
      </c>
      <c r="C28" s="12" t="s">
        <v>63</v>
      </c>
      <c r="D28" s="13" t="s">
        <v>397</v>
      </c>
      <c r="E28" s="12"/>
      <c r="F28" s="12"/>
      <c r="G28" s="250" t="s">
        <v>397</v>
      </c>
      <c r="H28" s="295"/>
      <c r="I28" s="295"/>
      <c r="J28" s="295"/>
      <c r="K28" s="296"/>
      <c r="L28" s="138">
        <f t="shared" si="4"/>
        <v>0.43958333333333327</v>
      </c>
      <c r="M28" s="133" t="s">
        <v>552</v>
      </c>
    </row>
    <row r="29" spans="1:16" ht="14.4" customHeight="1">
      <c r="A29" s="211"/>
      <c r="B29" s="126">
        <v>125</v>
      </c>
      <c r="C29" s="12" t="s">
        <v>65</v>
      </c>
      <c r="D29" s="13" t="s">
        <v>395</v>
      </c>
      <c r="E29" s="12"/>
      <c r="F29" s="12"/>
      <c r="G29" s="250" t="s">
        <v>395</v>
      </c>
      <c r="H29" s="295"/>
      <c r="I29" s="295"/>
      <c r="J29" s="295"/>
      <c r="K29" s="296"/>
      <c r="L29" s="138">
        <f t="shared" si="4"/>
        <v>0.43958333333333327</v>
      </c>
      <c r="M29" s="133"/>
    </row>
    <row r="30" spans="1:16" ht="14.4" customHeight="1">
      <c r="A30" s="211"/>
      <c r="B30" s="126">
        <v>125</v>
      </c>
      <c r="C30" s="12" t="s">
        <v>67</v>
      </c>
      <c r="D30" s="13" t="s">
        <v>394</v>
      </c>
      <c r="E30" s="12"/>
      <c r="F30" s="12"/>
      <c r="G30" s="250" t="s">
        <v>394</v>
      </c>
      <c r="H30" s="295"/>
      <c r="I30" s="295"/>
      <c r="J30" s="295"/>
      <c r="K30" s="296"/>
      <c r="L30" s="138">
        <f t="shared" si="4"/>
        <v>0.43958333333333327</v>
      </c>
      <c r="M30" s="133"/>
    </row>
    <row r="31" spans="1:16" ht="14.4" customHeight="1">
      <c r="A31" s="211"/>
      <c r="B31" s="126">
        <v>125</v>
      </c>
      <c r="C31" s="12" t="s">
        <v>68</v>
      </c>
      <c r="D31" s="13" t="s">
        <v>396</v>
      </c>
      <c r="E31" s="12"/>
      <c r="F31" s="12"/>
      <c r="G31" s="250" t="s">
        <v>396</v>
      </c>
      <c r="H31" s="295"/>
      <c r="I31" s="295"/>
      <c r="J31" s="295"/>
      <c r="K31" s="296"/>
      <c r="L31" s="138">
        <f t="shared" si="4"/>
        <v>0.43958333333333327</v>
      </c>
      <c r="M31" s="133"/>
    </row>
    <row r="32" spans="1:16" ht="14.4" customHeight="1">
      <c r="A32" s="211" t="s">
        <v>46</v>
      </c>
      <c r="B32" s="126">
        <v>465</v>
      </c>
      <c r="C32" s="13" t="s">
        <v>154</v>
      </c>
      <c r="D32" s="74" t="s">
        <v>372</v>
      </c>
      <c r="E32" s="54"/>
      <c r="F32" s="54"/>
      <c r="G32" s="101"/>
      <c r="H32" s="21"/>
      <c r="I32" s="21"/>
      <c r="J32" s="21"/>
      <c r="K32" s="21"/>
      <c r="L32" s="138">
        <f t="shared" si="4"/>
        <v>1.6352500000000001</v>
      </c>
      <c r="M32" s="133" t="s">
        <v>553</v>
      </c>
    </row>
    <row r="33" spans="1:16" ht="14.4" customHeight="1">
      <c r="A33" s="211"/>
      <c r="B33" s="126">
        <v>465</v>
      </c>
      <c r="C33" s="182" t="s">
        <v>154</v>
      </c>
      <c r="D33" s="181" t="s">
        <v>373</v>
      </c>
      <c r="E33" s="54"/>
      <c r="F33" s="54"/>
      <c r="G33" s="101"/>
      <c r="H33" s="21"/>
      <c r="I33" s="21"/>
      <c r="J33" s="21"/>
      <c r="K33" s="21"/>
      <c r="L33" s="138">
        <f t="shared" si="4"/>
        <v>1.6352500000000001</v>
      </c>
      <c r="M33" s="133"/>
    </row>
    <row r="34" spans="1:16" ht="14.4" customHeight="1">
      <c r="A34" s="211"/>
      <c r="B34" s="126">
        <v>465</v>
      </c>
      <c r="C34" s="161" t="s">
        <v>154</v>
      </c>
      <c r="D34" s="157" t="s">
        <v>374</v>
      </c>
      <c r="E34" s="54"/>
      <c r="F34" s="54"/>
      <c r="G34" s="101"/>
      <c r="H34" s="21"/>
      <c r="I34" s="21"/>
      <c r="J34" s="21"/>
      <c r="K34" s="21"/>
      <c r="L34" s="138">
        <f t="shared" si="4"/>
        <v>1.6352500000000001</v>
      </c>
      <c r="M34" s="133"/>
    </row>
    <row r="35" spans="1:16" ht="14.4" customHeight="1">
      <c r="A35" s="211"/>
      <c r="B35" s="126">
        <v>465</v>
      </c>
      <c r="C35" s="13" t="s">
        <v>154</v>
      </c>
      <c r="D35" s="74" t="s">
        <v>375</v>
      </c>
      <c r="E35" s="54"/>
      <c r="F35" s="54"/>
      <c r="G35" s="101"/>
      <c r="H35" s="21"/>
      <c r="I35" s="21"/>
      <c r="J35" s="21"/>
      <c r="K35" s="21"/>
      <c r="L35" s="138">
        <f t="shared" si="4"/>
        <v>1.6352500000000001</v>
      </c>
      <c r="M35" s="133"/>
    </row>
    <row r="36" spans="1:16" ht="14.4" customHeight="1">
      <c r="A36" s="211"/>
      <c r="B36" s="126">
        <v>465</v>
      </c>
      <c r="C36" s="13" t="s">
        <v>154</v>
      </c>
      <c r="D36" s="74" t="s">
        <v>376</v>
      </c>
      <c r="E36" s="54"/>
      <c r="F36" s="54"/>
      <c r="G36" s="101"/>
      <c r="H36" s="21"/>
      <c r="I36" s="21"/>
      <c r="J36" s="21"/>
      <c r="K36" s="21"/>
      <c r="L36" s="138">
        <f t="shared" si="4"/>
        <v>1.6352500000000001</v>
      </c>
      <c r="M36" s="133"/>
    </row>
    <row r="37" spans="1:16" ht="14.4" customHeight="1">
      <c r="A37" s="211"/>
      <c r="B37" s="126">
        <v>465</v>
      </c>
      <c r="C37" s="13" t="s">
        <v>154</v>
      </c>
      <c r="D37" s="74" t="s">
        <v>377</v>
      </c>
      <c r="E37" s="54"/>
      <c r="F37" s="54"/>
      <c r="G37" s="101"/>
      <c r="H37" s="21"/>
      <c r="I37" s="21"/>
      <c r="J37" s="21"/>
      <c r="K37" s="21"/>
      <c r="L37" s="138">
        <f t="shared" si="4"/>
        <v>1.6352500000000001</v>
      </c>
      <c r="M37" s="133"/>
    </row>
    <row r="38" spans="1:16" ht="14.4" customHeight="1">
      <c r="A38" s="211"/>
      <c r="B38" s="126">
        <v>465</v>
      </c>
      <c r="C38" s="13" t="s">
        <v>154</v>
      </c>
      <c r="D38" s="74" t="s">
        <v>378</v>
      </c>
      <c r="E38" s="54"/>
      <c r="F38" s="54"/>
      <c r="G38" s="101"/>
      <c r="H38" s="21"/>
      <c r="I38" s="21"/>
      <c r="J38" s="21"/>
      <c r="K38" s="21"/>
      <c r="L38" s="138">
        <f t="shared" si="4"/>
        <v>1.6352500000000001</v>
      </c>
      <c r="M38" s="133"/>
    </row>
    <row r="39" spans="1:16" ht="14.4" customHeight="1">
      <c r="A39" s="237" t="s">
        <v>71</v>
      </c>
      <c r="B39" s="238"/>
      <c r="C39" s="238"/>
      <c r="D39" s="238"/>
      <c r="E39" s="238"/>
      <c r="F39" s="238"/>
      <c r="G39" s="238"/>
      <c r="H39" s="238"/>
      <c r="I39" s="238"/>
      <c r="J39" s="238"/>
      <c r="K39" s="238"/>
      <c r="L39" s="239"/>
      <c r="M39" s="20"/>
    </row>
    <row r="40" spans="1:16" ht="28.95" customHeight="1">
      <c r="A40" s="73" t="s">
        <v>73</v>
      </c>
      <c r="B40" s="50">
        <v>250</v>
      </c>
      <c r="C40" s="14" t="s">
        <v>74</v>
      </c>
      <c r="D40" s="207" t="s">
        <v>398</v>
      </c>
      <c r="E40" s="294"/>
      <c r="F40" s="274"/>
      <c r="G40" s="14"/>
      <c r="H40" s="21"/>
      <c r="I40" s="21"/>
      <c r="J40" s="21"/>
      <c r="K40" s="21"/>
      <c r="L40" s="138">
        <f>((B40*211)+(B40*211*2/3))/100000</f>
        <v>0.87916666666666654</v>
      </c>
      <c r="M40" s="124" t="s">
        <v>554</v>
      </c>
    </row>
    <row r="41" spans="1:16">
      <c r="A41" s="240" t="s">
        <v>77</v>
      </c>
      <c r="B41" s="241"/>
      <c r="C41" s="241"/>
      <c r="D41" s="241"/>
      <c r="E41" s="241"/>
      <c r="F41" s="241"/>
      <c r="G41" s="241"/>
      <c r="H41" s="241"/>
      <c r="I41" s="241"/>
      <c r="J41" s="241"/>
      <c r="K41" s="241"/>
      <c r="L41" s="242"/>
      <c r="M41" s="20"/>
    </row>
    <row r="42" spans="1:16" ht="15.6">
      <c r="A42" s="73" t="s">
        <v>78</v>
      </c>
      <c r="B42" s="50">
        <v>125</v>
      </c>
      <c r="C42" s="85" t="s">
        <v>85</v>
      </c>
      <c r="D42" s="207" t="s">
        <v>327</v>
      </c>
      <c r="E42" s="294"/>
      <c r="F42" s="274"/>
      <c r="G42" s="101">
        <v>6</v>
      </c>
      <c r="H42" s="21">
        <v>4.5</v>
      </c>
      <c r="I42" s="21"/>
      <c r="J42" s="21">
        <f>H42*G42</f>
        <v>27</v>
      </c>
      <c r="K42" s="98" t="s">
        <v>467</v>
      </c>
      <c r="L42" s="138">
        <f>((B42*211)+(B42*211*2/3))/100000</f>
        <v>0.43958333333333327</v>
      </c>
      <c r="M42" s="124" t="s">
        <v>545</v>
      </c>
      <c r="P42">
        <f>2375/3</f>
        <v>791.66666666666663</v>
      </c>
    </row>
    <row r="43" spans="1:16" ht="14.4" customHeight="1">
      <c r="A43" s="73" t="s">
        <v>79</v>
      </c>
      <c r="B43" s="50">
        <v>100</v>
      </c>
      <c r="C43" s="12" t="s">
        <v>89</v>
      </c>
      <c r="D43" s="270" t="s">
        <v>389</v>
      </c>
      <c r="E43" s="279"/>
      <c r="F43" s="278"/>
      <c r="G43" s="101">
        <v>500</v>
      </c>
      <c r="H43" s="21">
        <v>2.5</v>
      </c>
      <c r="I43" s="21">
        <v>0.1</v>
      </c>
      <c r="J43" s="21">
        <f>I43*H43*G43</f>
        <v>125</v>
      </c>
      <c r="K43" s="98" t="s">
        <v>258</v>
      </c>
      <c r="L43" s="138">
        <f t="shared" ref="L43:L49" si="5">((B43*211)+(B43*211*2/3))/100000</f>
        <v>0.35166666666666663</v>
      </c>
      <c r="M43" s="95" t="s">
        <v>555</v>
      </c>
    </row>
    <row r="44" spans="1:16" ht="15.75" customHeight="1">
      <c r="A44" s="211" t="s">
        <v>81</v>
      </c>
      <c r="B44" s="126">
        <v>465</v>
      </c>
      <c r="C44" s="28" t="s">
        <v>113</v>
      </c>
      <c r="D44" s="207" t="s">
        <v>383</v>
      </c>
      <c r="E44" s="294"/>
      <c r="F44" s="274"/>
      <c r="G44" s="101">
        <v>30</v>
      </c>
      <c r="H44" s="21">
        <f>I44/6+0.45</f>
        <v>0.78333333333333333</v>
      </c>
      <c r="I44" s="21">
        <v>2</v>
      </c>
      <c r="J44" s="21">
        <f t="shared" ref="J44:J46" si="6">I44*H44*G44</f>
        <v>47</v>
      </c>
      <c r="K44" s="98" t="s">
        <v>258</v>
      </c>
      <c r="L44" s="138">
        <f t="shared" si="5"/>
        <v>1.6352500000000001</v>
      </c>
      <c r="M44" s="94" t="s">
        <v>556</v>
      </c>
    </row>
    <row r="45" spans="1:16" ht="14.4" customHeight="1">
      <c r="A45" s="211"/>
      <c r="B45" s="126">
        <v>450</v>
      </c>
      <c r="C45" s="28" t="s">
        <v>388</v>
      </c>
      <c r="D45" s="207" t="s">
        <v>387</v>
      </c>
      <c r="E45" s="294"/>
      <c r="F45" s="274"/>
      <c r="G45" s="43">
        <v>30</v>
      </c>
      <c r="H45" s="21">
        <v>3</v>
      </c>
      <c r="I45" s="21"/>
      <c r="J45" s="21">
        <f>H45*G45</f>
        <v>90</v>
      </c>
      <c r="K45" s="98" t="s">
        <v>467</v>
      </c>
      <c r="L45" s="138">
        <f t="shared" si="5"/>
        <v>1.5825</v>
      </c>
      <c r="M45" s="94"/>
    </row>
    <row r="46" spans="1:16" ht="14.4" customHeight="1">
      <c r="A46" s="233"/>
      <c r="B46" s="126">
        <v>450</v>
      </c>
      <c r="C46" s="28" t="s">
        <v>110</v>
      </c>
      <c r="D46" s="207" t="s">
        <v>390</v>
      </c>
      <c r="E46" s="294"/>
      <c r="F46" s="274"/>
      <c r="G46" s="43">
        <v>50</v>
      </c>
      <c r="H46" s="21">
        <v>2</v>
      </c>
      <c r="I46" s="21">
        <v>6</v>
      </c>
      <c r="J46" s="21">
        <f t="shared" si="6"/>
        <v>600</v>
      </c>
      <c r="K46" s="98" t="s">
        <v>258</v>
      </c>
      <c r="L46" s="138">
        <f t="shared" si="5"/>
        <v>1.5825</v>
      </c>
      <c r="M46" s="94"/>
    </row>
    <row r="47" spans="1:16" ht="14.4" customHeight="1">
      <c r="A47" s="211" t="s">
        <v>82</v>
      </c>
      <c r="B47" s="50">
        <v>250</v>
      </c>
      <c r="C47" s="12" t="s">
        <v>103</v>
      </c>
      <c r="D47" s="270" t="s">
        <v>393</v>
      </c>
      <c r="E47" s="279"/>
      <c r="F47" s="278"/>
      <c r="G47" s="101">
        <v>6</v>
      </c>
      <c r="H47" s="21">
        <v>4</v>
      </c>
      <c r="I47" s="21"/>
      <c r="J47" s="21">
        <f>H47*G47</f>
        <v>24</v>
      </c>
      <c r="K47" s="98" t="s">
        <v>467</v>
      </c>
      <c r="L47" s="138">
        <f t="shared" si="5"/>
        <v>0.87916666666666654</v>
      </c>
      <c r="M47" s="95" t="s">
        <v>557</v>
      </c>
    </row>
    <row r="48" spans="1:16" ht="57.6">
      <c r="A48" s="211"/>
      <c r="B48" s="50">
        <v>250</v>
      </c>
      <c r="C48" s="28" t="s">
        <v>115</v>
      </c>
      <c r="D48" s="207" t="s">
        <v>392</v>
      </c>
      <c r="E48" s="294"/>
      <c r="F48" s="274"/>
      <c r="G48" s="101">
        <v>4</v>
      </c>
      <c r="H48" s="21">
        <v>3</v>
      </c>
      <c r="I48" s="21"/>
      <c r="J48" s="21">
        <f t="shared" ref="J48:J49" si="7">H48*G48</f>
        <v>12</v>
      </c>
      <c r="K48" s="98" t="s">
        <v>467</v>
      </c>
      <c r="L48" s="138">
        <f t="shared" si="5"/>
        <v>0.87916666666666654</v>
      </c>
      <c r="M48" s="124" t="s">
        <v>558</v>
      </c>
    </row>
    <row r="49" spans="1:13" ht="15.6">
      <c r="A49" s="211"/>
      <c r="B49" s="50">
        <v>250</v>
      </c>
      <c r="C49" s="12" t="s">
        <v>106</v>
      </c>
      <c r="D49" s="270" t="s">
        <v>389</v>
      </c>
      <c r="E49" s="280"/>
      <c r="F49" s="271"/>
      <c r="G49" s="101">
        <v>5</v>
      </c>
      <c r="H49" s="21">
        <v>3</v>
      </c>
      <c r="I49" s="21"/>
      <c r="J49" s="21">
        <f t="shared" si="7"/>
        <v>15</v>
      </c>
      <c r="K49" s="98" t="s">
        <v>467</v>
      </c>
      <c r="L49" s="138">
        <f t="shared" si="5"/>
        <v>0.87916666666666654</v>
      </c>
      <c r="M49" s="95" t="s">
        <v>559</v>
      </c>
    </row>
    <row r="50" spans="1:13">
      <c r="B50" s="10">
        <f>SUM(B10:B49)</f>
        <v>11250</v>
      </c>
      <c r="L50" s="59">
        <f>SUM(L10:L49)</f>
        <v>39.562500000000021</v>
      </c>
    </row>
    <row r="51" spans="1:13">
      <c r="B51" s="26">
        <f>B3*90</f>
        <v>11250</v>
      </c>
      <c r="L51" s="65">
        <f>E4/100000</f>
        <v>39.5625</v>
      </c>
    </row>
  </sheetData>
  <mergeCells count="58">
    <mergeCell ref="A44:A46"/>
    <mergeCell ref="A47:A49"/>
    <mergeCell ref="A41:L41"/>
    <mergeCell ref="D45:F45"/>
    <mergeCell ref="D46:F46"/>
    <mergeCell ref="D48:F48"/>
    <mergeCell ref="D49:F49"/>
    <mergeCell ref="D47:F47"/>
    <mergeCell ref="D44:F44"/>
    <mergeCell ref="D43:F43"/>
    <mergeCell ref="A28:A31"/>
    <mergeCell ref="A32:A38"/>
    <mergeCell ref="A39:L39"/>
    <mergeCell ref="A17:A24"/>
    <mergeCell ref="A25:L25"/>
    <mergeCell ref="A26:A27"/>
    <mergeCell ref="C26:C27"/>
    <mergeCell ref="D24:F24"/>
    <mergeCell ref="D17:F17"/>
    <mergeCell ref="D18:F18"/>
    <mergeCell ref="D19:F19"/>
    <mergeCell ref="D20:F20"/>
    <mergeCell ref="D21:F21"/>
    <mergeCell ref="D22:F22"/>
    <mergeCell ref="D23:F23"/>
    <mergeCell ref="G2:I2"/>
    <mergeCell ref="G3:I3"/>
    <mergeCell ref="G4:I4"/>
    <mergeCell ref="G5:I5"/>
    <mergeCell ref="G6:I6"/>
    <mergeCell ref="A15:A16"/>
    <mergeCell ref="M7:M8"/>
    <mergeCell ref="L7:L8"/>
    <mergeCell ref="A10:A14"/>
    <mergeCell ref="D7:F8"/>
    <mergeCell ref="G7:K7"/>
    <mergeCell ref="A9:L9"/>
    <mergeCell ref="A7:A8"/>
    <mergeCell ref="B7:B8"/>
    <mergeCell ref="C7:C8"/>
    <mergeCell ref="D10:F10"/>
    <mergeCell ref="D11:F11"/>
    <mergeCell ref="D12:F12"/>
    <mergeCell ref="D14:F14"/>
    <mergeCell ref="C10:C14"/>
    <mergeCell ref="D15:F15"/>
    <mergeCell ref="D13:F13"/>
    <mergeCell ref="D40:F40"/>
    <mergeCell ref="D16:F16"/>
    <mergeCell ref="D42:F42"/>
    <mergeCell ref="G15:K15"/>
    <mergeCell ref="G16:K16"/>
    <mergeCell ref="G26:K26"/>
    <mergeCell ref="G27:K27"/>
    <mergeCell ref="G28:K28"/>
    <mergeCell ref="G29:K29"/>
    <mergeCell ref="G30:K30"/>
    <mergeCell ref="G31:K31"/>
  </mergeCells>
  <printOptions horizontalCentered="1"/>
  <pageMargins left="0.62" right="0.34" top="1.19" bottom="0.42" header="0.41" footer="0.3"/>
  <pageSetup paperSize="9" orientation="landscape" horizontalDpi="300" verticalDpi="300" r:id="rId1"/>
  <headerFooter>
    <oddHeader>&amp;C&amp;G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P31"/>
  <sheetViews>
    <sheetView topLeftCell="A7" workbookViewId="0">
      <selection activeCell="M32" sqref="M32"/>
    </sheetView>
  </sheetViews>
  <sheetFormatPr defaultRowHeight="14.4"/>
  <cols>
    <col min="1" max="1" width="17" style="9" customWidth="1"/>
    <col min="2" max="2" width="9.6640625" style="10" customWidth="1"/>
    <col min="3" max="3" width="24.5546875" customWidth="1"/>
    <col min="4" max="4" width="25.88671875" style="3" customWidth="1"/>
    <col min="5" max="5" width="9.33203125" style="3" customWidth="1"/>
    <col min="6" max="6" width="18.44140625" style="3" customWidth="1"/>
    <col min="7" max="7" width="5" style="18" customWidth="1"/>
    <col min="8" max="9" width="4.5546875" style="18" customWidth="1"/>
    <col min="10" max="10" width="6.44140625" style="18" customWidth="1"/>
    <col min="11" max="11" width="5.109375" style="18" customWidth="1"/>
    <col min="12" max="12" width="8.88671875" style="59"/>
    <col min="13" max="13" width="23" bestFit="1" customWidth="1"/>
  </cols>
  <sheetData>
    <row r="1" spans="1:13">
      <c r="A1" s="19" t="s">
        <v>242</v>
      </c>
      <c r="B1" s="6"/>
      <c r="C1" s="16"/>
      <c r="D1" s="16" t="s">
        <v>146</v>
      </c>
      <c r="E1" s="16"/>
      <c r="F1" s="16"/>
      <c r="G1" s="16"/>
      <c r="H1" s="16"/>
      <c r="I1" s="16"/>
      <c r="J1" s="16"/>
      <c r="K1" s="16"/>
      <c r="L1" s="63"/>
      <c r="M1" s="51"/>
    </row>
    <row r="2" spans="1:13">
      <c r="A2" s="1"/>
      <c r="B2" s="6"/>
      <c r="C2" s="2"/>
      <c r="D2" s="2" t="s">
        <v>0</v>
      </c>
      <c r="E2" s="19">
        <f>B3*211*90</f>
        <v>2753550</v>
      </c>
      <c r="F2" s="2"/>
      <c r="G2" s="204"/>
      <c r="H2" s="204"/>
      <c r="I2" s="204"/>
      <c r="J2" s="56"/>
      <c r="K2" s="56"/>
      <c r="L2" s="63"/>
      <c r="M2" s="51"/>
    </row>
    <row r="3" spans="1:13">
      <c r="A3" s="19" t="s">
        <v>1</v>
      </c>
      <c r="B3" s="6">
        <v>145</v>
      </c>
      <c r="C3" s="2"/>
      <c r="D3" s="2" t="s">
        <v>2</v>
      </c>
      <c r="E3" s="19">
        <f>E2*2/3</f>
        <v>1835700</v>
      </c>
      <c r="F3" s="2"/>
      <c r="G3" s="205"/>
      <c r="H3" s="205"/>
      <c r="I3" s="205"/>
      <c r="J3" s="57"/>
      <c r="K3" s="57"/>
      <c r="L3" s="63"/>
      <c r="M3" s="51"/>
    </row>
    <row r="4" spans="1:13">
      <c r="A4" s="7"/>
      <c r="B4" s="5"/>
      <c r="C4" s="2"/>
      <c r="D4" s="2" t="s">
        <v>3</v>
      </c>
      <c r="E4" s="19">
        <f>SUM(E2:E3)</f>
        <v>4589250</v>
      </c>
      <c r="F4" s="2"/>
      <c r="G4" s="205"/>
      <c r="H4" s="205"/>
      <c r="I4" s="205"/>
      <c r="J4" s="57"/>
      <c r="K4" s="57"/>
      <c r="L4" s="63"/>
      <c r="M4" s="51"/>
    </row>
    <row r="5" spans="1:13">
      <c r="A5" s="7"/>
      <c r="B5" s="5"/>
      <c r="C5" s="2"/>
      <c r="D5" s="2" t="s">
        <v>4</v>
      </c>
      <c r="E5" s="19">
        <f>E4*0.06</f>
        <v>275355</v>
      </c>
      <c r="F5" s="2"/>
      <c r="G5" s="205"/>
      <c r="H5" s="205"/>
      <c r="I5" s="205"/>
      <c r="J5" s="57"/>
      <c r="K5" s="57"/>
      <c r="L5" s="63"/>
      <c r="M5" s="51"/>
    </row>
    <row r="6" spans="1:13">
      <c r="A6" s="7"/>
      <c r="B6" s="5"/>
      <c r="C6" s="2"/>
      <c r="D6" s="2" t="s">
        <v>5</v>
      </c>
      <c r="E6" s="19">
        <f>E5+E4</f>
        <v>4864605</v>
      </c>
      <c r="F6" s="2"/>
      <c r="G6" s="206"/>
      <c r="H6" s="206"/>
      <c r="I6" s="206"/>
      <c r="J6" s="58"/>
      <c r="K6" s="58"/>
      <c r="L6" s="63"/>
      <c r="M6" s="51"/>
    </row>
    <row r="7" spans="1:13" ht="21" customHeight="1">
      <c r="A7" s="187" t="s">
        <v>18</v>
      </c>
      <c r="B7" s="186" t="s">
        <v>14</v>
      </c>
      <c r="C7" s="184" t="s">
        <v>147</v>
      </c>
      <c r="D7" s="193" t="s">
        <v>7</v>
      </c>
      <c r="E7" s="194"/>
      <c r="F7" s="184"/>
      <c r="G7" s="234" t="s">
        <v>153</v>
      </c>
      <c r="H7" s="235"/>
      <c r="I7" s="235"/>
      <c r="J7" s="235"/>
      <c r="K7" s="236"/>
      <c r="L7" s="202" t="s">
        <v>144</v>
      </c>
      <c r="M7" s="200" t="s">
        <v>117</v>
      </c>
    </row>
    <row r="8" spans="1:13" ht="27" customHeight="1">
      <c r="A8" s="187"/>
      <c r="B8" s="186"/>
      <c r="C8" s="185"/>
      <c r="D8" s="195"/>
      <c r="E8" s="196"/>
      <c r="F8" s="185"/>
      <c r="G8" s="52" t="s">
        <v>148</v>
      </c>
      <c r="H8" s="52" t="s">
        <v>149</v>
      </c>
      <c r="I8" s="52" t="s">
        <v>150</v>
      </c>
      <c r="J8" s="52" t="s">
        <v>151</v>
      </c>
      <c r="K8" s="52" t="s">
        <v>152</v>
      </c>
      <c r="L8" s="203"/>
      <c r="M8" s="201"/>
    </row>
    <row r="9" spans="1:13" ht="14.4" customHeight="1">
      <c r="A9" s="189" t="s">
        <v>40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60"/>
    </row>
    <row r="10" spans="1:13" ht="28.95" customHeight="1">
      <c r="A10" s="66" t="s">
        <v>19</v>
      </c>
      <c r="B10" s="50">
        <v>500</v>
      </c>
      <c r="C10" s="14" t="s">
        <v>20</v>
      </c>
      <c r="D10" s="285" t="s">
        <v>283</v>
      </c>
      <c r="E10" s="286"/>
      <c r="F10" s="287"/>
      <c r="G10" s="101"/>
      <c r="H10" s="21"/>
      <c r="I10" s="21"/>
      <c r="J10" s="21"/>
      <c r="K10" s="21"/>
      <c r="L10" s="138">
        <f>((B10*211)+(B10*211*2/3))/100000</f>
        <v>1.7583333333333331</v>
      </c>
      <c r="M10" s="124" t="s">
        <v>564</v>
      </c>
    </row>
    <row r="11" spans="1:13" ht="14.4" customHeight="1">
      <c r="A11" s="281" t="s">
        <v>25</v>
      </c>
      <c r="B11" s="50">
        <v>500</v>
      </c>
      <c r="C11" s="24" t="s">
        <v>11</v>
      </c>
      <c r="D11" s="228" t="s">
        <v>329</v>
      </c>
      <c r="E11" s="229"/>
      <c r="F11" s="230"/>
      <c r="G11" s="116">
        <v>1.5</v>
      </c>
      <c r="H11" s="21">
        <v>1.2</v>
      </c>
      <c r="I11" s="21">
        <v>1</v>
      </c>
      <c r="J11" s="21">
        <f>I11*H11*G11</f>
        <v>1.7999999999999998</v>
      </c>
      <c r="K11" s="98" t="s">
        <v>258</v>
      </c>
      <c r="L11" s="138">
        <f t="shared" ref="L11:L14" si="0">((B11*211)+(B11*211*2/3))/100000</f>
        <v>1.7583333333333331</v>
      </c>
      <c r="M11" s="95" t="s">
        <v>565</v>
      </c>
    </row>
    <row r="12" spans="1:13" ht="15.6">
      <c r="A12" s="281"/>
      <c r="B12" s="50">
        <v>1700</v>
      </c>
      <c r="C12" s="24" t="s">
        <v>29</v>
      </c>
      <c r="D12" s="244" t="s">
        <v>330</v>
      </c>
      <c r="E12" s="245"/>
      <c r="F12" s="246"/>
      <c r="G12" s="104">
        <v>6</v>
      </c>
      <c r="H12" s="21">
        <v>5</v>
      </c>
      <c r="I12" s="21">
        <v>2</v>
      </c>
      <c r="J12" s="21">
        <f>I12*H12*G12</f>
        <v>60</v>
      </c>
      <c r="K12" s="98" t="s">
        <v>258</v>
      </c>
      <c r="L12" s="138">
        <f t="shared" si="0"/>
        <v>5.9783333333333335</v>
      </c>
      <c r="M12" s="95" t="s">
        <v>566</v>
      </c>
    </row>
    <row r="13" spans="1:13" ht="15.6">
      <c r="A13" s="66" t="s">
        <v>13</v>
      </c>
      <c r="B13" s="50">
        <v>300</v>
      </c>
      <c r="C13" s="13" t="s">
        <v>567</v>
      </c>
      <c r="D13" s="285" t="s">
        <v>319</v>
      </c>
      <c r="E13" s="286"/>
      <c r="F13" s="287"/>
      <c r="G13" s="250" t="s">
        <v>478</v>
      </c>
      <c r="H13" s="260"/>
      <c r="I13" s="260"/>
      <c r="J13" s="260"/>
      <c r="K13" s="251"/>
      <c r="L13" s="138">
        <f t="shared" si="0"/>
        <v>1.0549999999999999</v>
      </c>
      <c r="M13" s="95" t="s">
        <v>568</v>
      </c>
    </row>
    <row r="14" spans="1:13" ht="15.6">
      <c r="A14" s="70" t="s">
        <v>8</v>
      </c>
      <c r="B14" s="72">
        <v>4900</v>
      </c>
      <c r="C14" s="15" t="s">
        <v>38</v>
      </c>
      <c r="D14" s="301" t="s">
        <v>283</v>
      </c>
      <c r="E14" s="302"/>
      <c r="F14" s="303"/>
      <c r="G14" s="104">
        <v>1000</v>
      </c>
      <c r="H14" s="104">
        <v>1.5</v>
      </c>
      <c r="I14" s="104">
        <v>1</v>
      </c>
      <c r="J14" s="21">
        <f>I14*H14*G14</f>
        <v>1500</v>
      </c>
      <c r="K14" s="98" t="s">
        <v>258</v>
      </c>
      <c r="L14" s="138">
        <f t="shared" si="0"/>
        <v>17.231666666666666</v>
      </c>
      <c r="M14" s="124" t="s">
        <v>569</v>
      </c>
    </row>
    <row r="15" spans="1:13" ht="14.4" customHeight="1">
      <c r="A15" s="237" t="s">
        <v>39</v>
      </c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9"/>
      <c r="M15" s="61"/>
    </row>
    <row r="16" spans="1:13" ht="28.8">
      <c r="A16" s="68" t="s">
        <v>46</v>
      </c>
      <c r="B16" s="72">
        <v>1000</v>
      </c>
      <c r="C16" s="28" t="s">
        <v>154</v>
      </c>
      <c r="D16" s="285" t="s">
        <v>283</v>
      </c>
      <c r="E16" s="286"/>
      <c r="F16" s="287"/>
      <c r="G16" s="12"/>
      <c r="H16" s="21"/>
      <c r="I16" s="21"/>
      <c r="J16" s="21"/>
      <c r="K16" s="21"/>
      <c r="L16" s="144">
        <f>((B16*211)+(B16*211*2/3))/100000</f>
        <v>3.5166666666666662</v>
      </c>
      <c r="M16" s="124" t="s">
        <v>570</v>
      </c>
    </row>
    <row r="17" spans="1:16" ht="14.4" customHeight="1">
      <c r="A17" s="237" t="s">
        <v>71</v>
      </c>
      <c r="B17" s="238"/>
      <c r="C17" s="238"/>
      <c r="D17" s="238"/>
      <c r="E17" s="238"/>
      <c r="F17" s="238"/>
      <c r="G17" s="238"/>
      <c r="H17" s="238"/>
      <c r="I17" s="238"/>
      <c r="J17" s="238"/>
      <c r="K17" s="238"/>
      <c r="L17" s="239"/>
      <c r="M17" s="20"/>
    </row>
    <row r="18" spans="1:16" ht="28.95" customHeight="1">
      <c r="A18" s="68" t="s">
        <v>73</v>
      </c>
      <c r="B18" s="50">
        <v>800</v>
      </c>
      <c r="C18" s="14" t="s">
        <v>74</v>
      </c>
      <c r="D18" s="311" t="s">
        <v>326</v>
      </c>
      <c r="E18" s="312"/>
      <c r="F18" s="313"/>
      <c r="G18" s="14">
        <f>18/3.28</f>
        <v>5.4878048780487809</v>
      </c>
      <c r="H18" s="21">
        <f>12/3.28</f>
        <v>3.6585365853658538</v>
      </c>
      <c r="I18" s="21">
        <v>3</v>
      </c>
      <c r="J18" s="21">
        <f>I18*H18*G18</f>
        <v>60.232004759071991</v>
      </c>
      <c r="K18" s="79" t="s">
        <v>258</v>
      </c>
      <c r="L18" s="138">
        <f>((B18*211)+(B18*211*2/3))/100000</f>
        <v>2.813333333333333</v>
      </c>
      <c r="M18" s="124" t="s">
        <v>563</v>
      </c>
    </row>
    <row r="19" spans="1:16">
      <c r="A19" s="240" t="s">
        <v>77</v>
      </c>
      <c r="B19" s="241"/>
      <c r="C19" s="241"/>
      <c r="D19" s="241"/>
      <c r="E19" s="241"/>
      <c r="F19" s="241"/>
      <c r="G19" s="241"/>
      <c r="H19" s="241"/>
      <c r="I19" s="241"/>
      <c r="J19" s="241"/>
      <c r="K19" s="241"/>
      <c r="L19" s="242"/>
      <c r="M19" s="20"/>
    </row>
    <row r="20" spans="1:16" ht="28.8">
      <c r="A20" s="68" t="s">
        <v>78</v>
      </c>
      <c r="B20" s="50">
        <v>450</v>
      </c>
      <c r="C20" s="14" t="s">
        <v>85</v>
      </c>
      <c r="D20" s="207" t="s">
        <v>328</v>
      </c>
      <c r="E20" s="294"/>
      <c r="F20" s="274"/>
      <c r="G20" s="101">
        <v>2</v>
      </c>
      <c r="H20" s="21">
        <v>1.2</v>
      </c>
      <c r="I20" s="21"/>
      <c r="J20" s="21">
        <f>H20*G20</f>
        <v>2.4</v>
      </c>
      <c r="K20" s="98" t="s">
        <v>467</v>
      </c>
      <c r="L20" s="138">
        <f>((B20*211)+(B20*211*2/3))/100000</f>
        <v>1.5825</v>
      </c>
      <c r="M20" s="124" t="s">
        <v>571</v>
      </c>
      <c r="O20">
        <f>20*0.12</f>
        <v>2.4</v>
      </c>
    </row>
    <row r="21" spans="1:16" ht="14.4" customHeight="1">
      <c r="A21" s="211" t="s">
        <v>79</v>
      </c>
      <c r="B21" s="267">
        <v>300</v>
      </c>
      <c r="C21" s="12" t="s">
        <v>89</v>
      </c>
      <c r="D21" s="270" t="s">
        <v>319</v>
      </c>
      <c r="E21" s="280"/>
      <c r="F21" s="271"/>
      <c r="G21" s="101">
        <v>500</v>
      </c>
      <c r="H21" s="21">
        <v>3</v>
      </c>
      <c r="I21" s="21">
        <v>0.12</v>
      </c>
      <c r="J21" s="21">
        <f>I21*H21*G21</f>
        <v>180</v>
      </c>
      <c r="K21" s="98" t="s">
        <v>258</v>
      </c>
      <c r="L21" s="138">
        <f t="shared" ref="L21:L29" si="1">((B21*211)+(B21*211*2/3))/100000</f>
        <v>1.0549999999999999</v>
      </c>
      <c r="M21" s="261" t="s">
        <v>572</v>
      </c>
    </row>
    <row r="22" spans="1:16">
      <c r="A22" s="211"/>
      <c r="B22" s="269"/>
      <c r="C22" s="12" t="s">
        <v>96</v>
      </c>
      <c r="D22" s="270" t="s">
        <v>319</v>
      </c>
      <c r="E22" s="280"/>
      <c r="F22" s="271"/>
      <c r="G22" s="101">
        <v>2000</v>
      </c>
      <c r="H22" s="21">
        <v>3</v>
      </c>
      <c r="I22" s="21">
        <v>6</v>
      </c>
      <c r="J22" s="21">
        <f>I22*H22*G22</f>
        <v>36000</v>
      </c>
      <c r="K22" s="98" t="s">
        <v>258</v>
      </c>
      <c r="L22" s="138">
        <f t="shared" si="1"/>
        <v>0</v>
      </c>
      <c r="M22" s="261"/>
    </row>
    <row r="23" spans="1:16" ht="28.8">
      <c r="A23" s="53" t="s">
        <v>80</v>
      </c>
      <c r="B23" s="50">
        <v>500</v>
      </c>
      <c r="C23" s="25" t="s">
        <v>101</v>
      </c>
      <c r="D23" s="262" t="s">
        <v>320</v>
      </c>
      <c r="E23" s="319"/>
      <c r="F23" s="263"/>
      <c r="G23" s="99">
        <v>100</v>
      </c>
      <c r="H23" s="21">
        <v>50</v>
      </c>
      <c r="I23" s="21">
        <v>0.6</v>
      </c>
      <c r="J23" s="21">
        <f>I23*H23*G23</f>
        <v>3000</v>
      </c>
      <c r="K23" s="98" t="s">
        <v>258</v>
      </c>
      <c r="L23" s="138">
        <f t="shared" si="1"/>
        <v>1.7583333333333331</v>
      </c>
      <c r="M23" s="124" t="s">
        <v>562</v>
      </c>
      <c r="P23">
        <f>1500/4</f>
        <v>375</v>
      </c>
    </row>
    <row r="24" spans="1:16" ht="15.75" customHeight="1">
      <c r="A24" s="316" t="s">
        <v>81</v>
      </c>
      <c r="B24" s="126">
        <v>375</v>
      </c>
      <c r="C24" s="28" t="s">
        <v>110</v>
      </c>
      <c r="D24" s="270" t="s">
        <v>323</v>
      </c>
      <c r="E24" s="280"/>
      <c r="F24" s="271"/>
      <c r="G24" s="101">
        <v>50</v>
      </c>
      <c r="H24" s="21">
        <v>3</v>
      </c>
      <c r="I24" s="21">
        <v>7</v>
      </c>
      <c r="J24" s="21">
        <f t="shared" ref="J24:J29" si="2">I24*H24*G24</f>
        <v>1050</v>
      </c>
      <c r="K24" s="98" t="s">
        <v>258</v>
      </c>
      <c r="L24" s="138">
        <f t="shared" si="1"/>
        <v>1.3187500000000001</v>
      </c>
      <c r="M24" s="94" t="s">
        <v>573</v>
      </c>
    </row>
    <row r="25" spans="1:16" ht="14.4" customHeight="1">
      <c r="A25" s="317"/>
      <c r="B25" s="126">
        <v>375</v>
      </c>
      <c r="C25" s="315" t="s">
        <v>322</v>
      </c>
      <c r="D25" s="207" t="s">
        <v>331</v>
      </c>
      <c r="E25" s="294"/>
      <c r="F25" s="274"/>
      <c r="G25" s="101">
        <v>35</v>
      </c>
      <c r="H25" s="21">
        <v>3</v>
      </c>
      <c r="I25" s="21">
        <v>8</v>
      </c>
      <c r="J25" s="21">
        <f t="shared" si="2"/>
        <v>840</v>
      </c>
      <c r="K25" s="98" t="s">
        <v>258</v>
      </c>
      <c r="L25" s="138">
        <f t="shared" si="1"/>
        <v>1.3187500000000001</v>
      </c>
      <c r="M25" s="94"/>
    </row>
    <row r="26" spans="1:16" ht="14.4" customHeight="1">
      <c r="A26" s="317"/>
      <c r="B26" s="126">
        <v>375</v>
      </c>
      <c r="C26" s="315"/>
      <c r="D26" s="207" t="s">
        <v>321</v>
      </c>
      <c r="E26" s="294"/>
      <c r="F26" s="274"/>
      <c r="G26" s="101">
        <v>55</v>
      </c>
      <c r="H26" s="21">
        <v>2</v>
      </c>
      <c r="I26" s="21">
        <v>5</v>
      </c>
      <c r="J26" s="21">
        <f t="shared" si="2"/>
        <v>550</v>
      </c>
      <c r="K26" s="98" t="s">
        <v>258</v>
      </c>
      <c r="L26" s="138">
        <f t="shared" si="1"/>
        <v>1.3187500000000001</v>
      </c>
      <c r="M26" s="94"/>
    </row>
    <row r="27" spans="1:16" ht="14.4" customHeight="1">
      <c r="A27" s="318"/>
      <c r="B27" s="126">
        <v>375</v>
      </c>
      <c r="C27" s="28" t="s">
        <v>333</v>
      </c>
      <c r="D27" s="301" t="s">
        <v>334</v>
      </c>
      <c r="E27" s="302"/>
      <c r="F27" s="303"/>
      <c r="G27" s="101">
        <v>250</v>
      </c>
      <c r="H27" s="21">
        <v>0.5</v>
      </c>
      <c r="I27" s="21">
        <v>0.5</v>
      </c>
      <c r="J27" s="21">
        <f t="shared" si="2"/>
        <v>62.5</v>
      </c>
      <c r="K27" s="98" t="s">
        <v>258</v>
      </c>
      <c r="L27" s="138">
        <f t="shared" si="1"/>
        <v>1.3187500000000001</v>
      </c>
      <c r="M27" s="94"/>
    </row>
    <row r="28" spans="1:16" ht="14.4" customHeight="1">
      <c r="A28" s="211" t="s">
        <v>82</v>
      </c>
      <c r="B28" s="50">
        <v>300</v>
      </c>
      <c r="C28" s="13" t="s">
        <v>325</v>
      </c>
      <c r="D28" s="307" t="s">
        <v>324</v>
      </c>
      <c r="E28" s="280"/>
      <c r="F28" s="271"/>
      <c r="G28" s="101"/>
      <c r="H28" s="21"/>
      <c r="I28" s="21"/>
      <c r="J28" s="21"/>
      <c r="K28" s="98"/>
      <c r="L28" s="138">
        <f t="shared" si="1"/>
        <v>1.0549999999999999</v>
      </c>
      <c r="M28" s="95" t="s">
        <v>561</v>
      </c>
    </row>
    <row r="29" spans="1:16" ht="15.6">
      <c r="A29" s="211"/>
      <c r="B29" s="50">
        <v>300</v>
      </c>
      <c r="C29" s="12" t="s">
        <v>106</v>
      </c>
      <c r="D29" s="314" t="s">
        <v>332</v>
      </c>
      <c r="E29" s="208"/>
      <c r="F29" s="209"/>
      <c r="G29" s="101">
        <v>6</v>
      </c>
      <c r="H29" s="21">
        <v>3.6</v>
      </c>
      <c r="I29" s="21">
        <v>3</v>
      </c>
      <c r="J29" s="21">
        <f t="shared" si="2"/>
        <v>64.800000000000011</v>
      </c>
      <c r="K29" s="98" t="s">
        <v>258</v>
      </c>
      <c r="L29" s="138">
        <f t="shared" si="1"/>
        <v>1.0549999999999999</v>
      </c>
      <c r="M29" s="95" t="s">
        <v>560</v>
      </c>
    </row>
    <row r="30" spans="1:16">
      <c r="B30" s="10">
        <f>SUM(B10:B29)</f>
        <v>13050</v>
      </c>
      <c r="L30" s="59">
        <f>SUM(L10:L29)</f>
        <v>45.892500000000005</v>
      </c>
    </row>
    <row r="31" spans="1:16">
      <c r="B31" s="26">
        <f>B3*90</f>
        <v>13050</v>
      </c>
      <c r="L31" s="65">
        <f>E4/100000</f>
        <v>45.892499999999998</v>
      </c>
    </row>
  </sheetData>
  <mergeCells count="41">
    <mergeCell ref="M21:M22"/>
    <mergeCell ref="A28:A29"/>
    <mergeCell ref="D28:F28"/>
    <mergeCell ref="D25:F25"/>
    <mergeCell ref="D29:F29"/>
    <mergeCell ref="C25:C26"/>
    <mergeCell ref="D27:F27"/>
    <mergeCell ref="D24:F24"/>
    <mergeCell ref="A24:A27"/>
    <mergeCell ref="D26:F26"/>
    <mergeCell ref="D23:F23"/>
    <mergeCell ref="D20:F20"/>
    <mergeCell ref="D21:F21"/>
    <mergeCell ref="B21:B22"/>
    <mergeCell ref="G7:K7"/>
    <mergeCell ref="D13:F13"/>
    <mergeCell ref="A19:L19"/>
    <mergeCell ref="A21:A22"/>
    <mergeCell ref="D22:F22"/>
    <mergeCell ref="D18:F18"/>
    <mergeCell ref="A17:L17"/>
    <mergeCell ref="D16:F16"/>
    <mergeCell ref="A15:L15"/>
    <mergeCell ref="D14:F14"/>
    <mergeCell ref="G13:K13"/>
    <mergeCell ref="M7:M8"/>
    <mergeCell ref="A11:A12"/>
    <mergeCell ref="G2:I2"/>
    <mergeCell ref="G3:I3"/>
    <mergeCell ref="G4:I4"/>
    <mergeCell ref="G5:I5"/>
    <mergeCell ref="G6:I6"/>
    <mergeCell ref="D10:F10"/>
    <mergeCell ref="D11:F11"/>
    <mergeCell ref="D12:F12"/>
    <mergeCell ref="L7:L8"/>
    <mergeCell ref="A9:L9"/>
    <mergeCell ref="C7:C8"/>
    <mergeCell ref="A7:A8"/>
    <mergeCell ref="B7:B8"/>
    <mergeCell ref="D7:F8"/>
  </mergeCells>
  <printOptions horizontalCentered="1"/>
  <pageMargins left="0.93" right="0.52" top="1.0625" bottom="0.42" header="0.22" footer="0.3"/>
  <pageSetup paperSize="9" orientation="landscape" horizontalDpi="300" verticalDpi="300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Bairabi</vt:lpstr>
      <vt:lpstr>Bairabi S</vt:lpstr>
      <vt:lpstr>Meidum</vt:lpstr>
      <vt:lpstr>Pangbal</vt:lpstr>
      <vt:lpstr>S.Chhimluang</vt:lpstr>
      <vt:lpstr>Phaisen</vt:lpstr>
      <vt:lpstr>Buhchang</vt:lpstr>
      <vt:lpstr>Bukvannei</vt:lpstr>
      <vt:lpstr>Saihapui K</vt:lpstr>
      <vt:lpstr>kpl</vt:lpstr>
      <vt:lpstr>Builum</vt:lpstr>
      <vt:lpstr>Gosen</vt:lpstr>
      <vt:lpstr>Abstract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Siakeng</dc:creator>
  <cp:lastModifiedBy>Mpa</cp:lastModifiedBy>
  <cp:lastPrinted>2018-12-31T19:04:01Z</cp:lastPrinted>
  <dcterms:created xsi:type="dcterms:W3CDTF">2014-02-25T04:36:30Z</dcterms:created>
  <dcterms:modified xsi:type="dcterms:W3CDTF">2019-06-27T16:53:22Z</dcterms:modified>
</cp:coreProperties>
</file>