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25" windowHeight="7935" firstSheet="3" activeTab="11"/>
  </bookViews>
  <sheets>
    <sheet name="Venglai" sheetId="1" r:id="rId1"/>
    <sheet name="College veng" sheetId="2" r:id="rId2"/>
    <sheet name="Vengthar" sheetId="3" r:id="rId3"/>
    <sheet name="Hmarveng" sheetId="4" r:id="rId4"/>
    <sheet name="Diakkawn" sheetId="5" r:id="rId5"/>
    <sheet name="Rengtekawn" sheetId="6" r:id="rId6"/>
    <sheet name="Saidan" sheetId="7" r:id="rId7"/>
    <sheet name="Electric veng" sheetId="8" r:id="rId8"/>
    <sheet name="Project" sheetId="9" r:id="rId9"/>
    <sheet name="Tumpui" sheetId="10" r:id="rId10"/>
    <sheet name="N.Diakkawn" sheetId="11" r:id="rId11"/>
    <sheet name="N.Thinglian" sheetId="12" r:id="rId12"/>
    <sheet name="Sheet1" sheetId="13" r:id="rId13"/>
  </sheets>
  <calcPr calcId="124519"/>
</workbook>
</file>

<file path=xl/calcChain.xml><?xml version="1.0" encoding="utf-8"?>
<calcChain xmlns="http://schemas.openxmlformats.org/spreadsheetml/2006/main">
  <c r="J71" i="11"/>
  <c r="J60" i="10"/>
  <c r="J56" i="9"/>
  <c r="J49" i="8"/>
  <c r="J106" i="1"/>
  <c r="J114" s="1"/>
  <c r="J115"/>
  <c r="J55" i="2"/>
  <c r="J116" i="1"/>
  <c r="H72" i="3"/>
  <c r="J72"/>
  <c r="B74"/>
  <c r="B49" i="8"/>
  <c r="B56" i="9"/>
  <c r="B60" i="10"/>
  <c r="B71" i="11"/>
  <c r="C36" i="12"/>
  <c r="J35"/>
  <c r="J34"/>
  <c r="C74" i="11"/>
  <c r="J73"/>
  <c r="J72"/>
  <c r="C63" i="10"/>
  <c r="J62"/>
  <c r="J61"/>
  <c r="C59" i="9"/>
  <c r="J58"/>
  <c r="J57"/>
  <c r="C52" i="8"/>
  <c r="J51"/>
  <c r="J50"/>
  <c r="C69" i="7"/>
  <c r="J68"/>
  <c r="J67"/>
  <c r="J52" i="6"/>
  <c r="J51"/>
  <c r="C53"/>
  <c r="C90" i="5"/>
  <c r="J89"/>
  <c r="J88"/>
  <c r="C82" i="4"/>
  <c r="C117" i="1"/>
  <c r="C58" i="2"/>
  <c r="C77" i="3"/>
  <c r="J76"/>
  <c r="J75"/>
  <c r="J81" i="4"/>
  <c r="J80"/>
  <c r="J32" i="12"/>
  <c r="J31"/>
  <c r="J30"/>
  <c r="J29"/>
  <c r="J28"/>
  <c r="J27"/>
  <c r="J24"/>
  <c r="J23"/>
  <c r="J17"/>
  <c r="J18"/>
  <c r="J19"/>
  <c r="J20"/>
  <c r="J16"/>
  <c r="J15"/>
  <c r="J14"/>
  <c r="J13"/>
  <c r="J12"/>
  <c r="J11"/>
  <c r="E28"/>
  <c r="E20"/>
  <c r="H20" s="1"/>
  <c r="B33"/>
  <c r="E32"/>
  <c r="H32" s="1"/>
  <c r="E27"/>
  <c r="H27" s="1"/>
  <c r="H28"/>
  <c r="H29"/>
  <c r="H30"/>
  <c r="H31"/>
  <c r="B35"/>
  <c r="J69" i="11"/>
  <c r="J68"/>
  <c r="J67"/>
  <c r="J66"/>
  <c r="J65"/>
  <c r="J64"/>
  <c r="J63"/>
  <c r="J62"/>
  <c r="J70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35"/>
  <c r="J34"/>
  <c r="J33"/>
  <c r="J24"/>
  <c r="J25"/>
  <c r="J26"/>
  <c r="J27"/>
  <c r="J28"/>
  <c r="J29"/>
  <c r="J30"/>
  <c r="J23"/>
  <c r="J17"/>
  <c r="J18"/>
  <c r="J19"/>
  <c r="J20"/>
  <c r="J21"/>
  <c r="J16"/>
  <c r="J15"/>
  <c r="J14"/>
  <c r="J13"/>
  <c r="J12"/>
  <c r="J11"/>
  <c r="J59" i="10"/>
  <c r="J58"/>
  <c r="J57"/>
  <c r="J56"/>
  <c r="J55"/>
  <c r="J54"/>
  <c r="J53"/>
  <c r="E59"/>
  <c r="H59" s="1"/>
  <c r="J37"/>
  <c r="J38"/>
  <c r="J39"/>
  <c r="J40"/>
  <c r="J41"/>
  <c r="J42"/>
  <c r="J43"/>
  <c r="J44"/>
  <c r="J45"/>
  <c r="J46"/>
  <c r="J47"/>
  <c r="J48"/>
  <c r="J49"/>
  <c r="J36"/>
  <c r="J35"/>
  <c r="J34"/>
  <c r="J24"/>
  <c r="J25"/>
  <c r="J26"/>
  <c r="J27"/>
  <c r="J28"/>
  <c r="J29"/>
  <c r="J30"/>
  <c r="J31"/>
  <c r="J23"/>
  <c r="J17"/>
  <c r="J18"/>
  <c r="J19"/>
  <c r="J20"/>
  <c r="J21"/>
  <c r="J16"/>
  <c r="J15"/>
  <c r="J14"/>
  <c r="J13"/>
  <c r="J12"/>
  <c r="J11"/>
  <c r="J54" i="9"/>
  <c r="J53"/>
  <c r="J52"/>
  <c r="J51"/>
  <c r="J55"/>
  <c r="J49"/>
  <c r="J38"/>
  <c r="J39"/>
  <c r="J40"/>
  <c r="J41"/>
  <c r="J42"/>
  <c r="J43"/>
  <c r="J44"/>
  <c r="J45"/>
  <c r="J46"/>
  <c r="J37"/>
  <c r="J34"/>
  <c r="J33"/>
  <c r="J20"/>
  <c r="J21"/>
  <c r="J22"/>
  <c r="J23"/>
  <c r="J24"/>
  <c r="J25"/>
  <c r="J26"/>
  <c r="J27"/>
  <c r="J28"/>
  <c r="J29"/>
  <c r="J19"/>
  <c r="J18"/>
  <c r="J17"/>
  <c r="J16"/>
  <c r="J15"/>
  <c r="J11"/>
  <c r="E26" i="8"/>
  <c r="H26" s="1"/>
  <c r="J26"/>
  <c r="J48"/>
  <c r="J47"/>
  <c r="J46"/>
  <c r="J45"/>
  <c r="J42"/>
  <c r="J41"/>
  <c r="J35"/>
  <c r="J36"/>
  <c r="J37"/>
  <c r="J38"/>
  <c r="J34"/>
  <c r="J33"/>
  <c r="J32"/>
  <c r="J17"/>
  <c r="J18"/>
  <c r="J19"/>
  <c r="J20"/>
  <c r="J21"/>
  <c r="J22"/>
  <c r="J23"/>
  <c r="J24"/>
  <c r="J27"/>
  <c r="J28"/>
  <c r="J16"/>
  <c r="J15"/>
  <c r="J14"/>
  <c r="J11"/>
  <c r="E11"/>
  <c r="H11" s="1"/>
  <c r="B66" i="7"/>
  <c r="J65"/>
  <c r="E65"/>
  <c r="H65" s="1"/>
  <c r="J64"/>
  <c r="J63"/>
  <c r="J62"/>
  <c r="J60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37"/>
  <c r="J36"/>
  <c r="J35"/>
  <c r="J24"/>
  <c r="J25"/>
  <c r="J26"/>
  <c r="J27"/>
  <c r="J28"/>
  <c r="J29"/>
  <c r="J30"/>
  <c r="J31"/>
  <c r="J23"/>
  <c r="J16"/>
  <c r="J17"/>
  <c r="J18"/>
  <c r="J19"/>
  <c r="J20"/>
  <c r="J21"/>
  <c r="J14"/>
  <c r="J15"/>
  <c r="J13"/>
  <c r="J66" s="1"/>
  <c r="J12"/>
  <c r="J11"/>
  <c r="J49" i="6"/>
  <c r="J48"/>
  <c r="J47"/>
  <c r="J46"/>
  <c r="J45"/>
  <c r="J44"/>
  <c r="J34"/>
  <c r="J35"/>
  <c r="J36"/>
  <c r="J37"/>
  <c r="J38"/>
  <c r="J39"/>
  <c r="J40"/>
  <c r="J41"/>
  <c r="J33"/>
  <c r="J32"/>
  <c r="J31"/>
  <c r="J30"/>
  <c r="J15"/>
  <c r="J16"/>
  <c r="J17"/>
  <c r="J18"/>
  <c r="J19"/>
  <c r="J20"/>
  <c r="J21"/>
  <c r="J22"/>
  <c r="J23"/>
  <c r="J24"/>
  <c r="J25"/>
  <c r="J26"/>
  <c r="J14"/>
  <c r="J13"/>
  <c r="J11"/>
  <c r="J86" i="5"/>
  <c r="J85"/>
  <c r="J84"/>
  <c r="J83"/>
  <c r="J82"/>
  <c r="J81"/>
  <c r="J50"/>
  <c r="J66"/>
  <c r="J67"/>
  <c r="J68"/>
  <c r="J69"/>
  <c r="J70"/>
  <c r="J71"/>
  <c r="J72"/>
  <c r="J73"/>
  <c r="J74"/>
  <c r="J75"/>
  <c r="J76"/>
  <c r="J77"/>
  <c r="J78"/>
  <c r="J65"/>
  <c r="J54"/>
  <c r="J55"/>
  <c r="J56"/>
  <c r="J57"/>
  <c r="J58"/>
  <c r="J59"/>
  <c r="J60"/>
  <c r="J61"/>
  <c r="J62"/>
  <c r="J63"/>
  <c r="J53"/>
  <c r="J52"/>
  <c r="J51"/>
  <c r="J31"/>
  <c r="J32"/>
  <c r="J33"/>
  <c r="J34"/>
  <c r="J35"/>
  <c r="J36"/>
  <c r="J37"/>
  <c r="J38"/>
  <c r="J39"/>
  <c r="J40"/>
  <c r="J41"/>
  <c r="J42"/>
  <c r="J43"/>
  <c r="J45"/>
  <c r="J46"/>
  <c r="J30"/>
  <c r="J17"/>
  <c r="J18"/>
  <c r="J19"/>
  <c r="J20"/>
  <c r="J21"/>
  <c r="J22"/>
  <c r="J23"/>
  <c r="J24"/>
  <c r="J25"/>
  <c r="J26"/>
  <c r="J27"/>
  <c r="J28"/>
  <c r="J16"/>
  <c r="J15"/>
  <c r="J14"/>
  <c r="J13"/>
  <c r="J11"/>
  <c r="J74" i="4"/>
  <c r="J78"/>
  <c r="J77"/>
  <c r="J76"/>
  <c r="J75"/>
  <c r="J73"/>
  <c r="J72"/>
  <c r="J59"/>
  <c r="J60"/>
  <c r="J61"/>
  <c r="J62"/>
  <c r="J63"/>
  <c r="J64"/>
  <c r="J65"/>
  <c r="J66"/>
  <c r="J67"/>
  <c r="J68"/>
  <c r="J69"/>
  <c r="J58"/>
  <c r="J47"/>
  <c r="J48"/>
  <c r="J49"/>
  <c r="J50"/>
  <c r="J51"/>
  <c r="J52"/>
  <c r="J53"/>
  <c r="J54"/>
  <c r="J55"/>
  <c r="J56"/>
  <c r="J46"/>
  <c r="J45"/>
  <c r="J44"/>
  <c r="J43"/>
  <c r="J29"/>
  <c r="J30"/>
  <c r="J31"/>
  <c r="J32"/>
  <c r="J33"/>
  <c r="J34"/>
  <c r="J35"/>
  <c r="J36"/>
  <c r="J37"/>
  <c r="J38"/>
  <c r="J39"/>
  <c r="J28"/>
  <c r="J15"/>
  <c r="J16"/>
  <c r="J17"/>
  <c r="J18"/>
  <c r="J19"/>
  <c r="J20"/>
  <c r="J21"/>
  <c r="J22"/>
  <c r="J23"/>
  <c r="J24"/>
  <c r="J25"/>
  <c r="J26"/>
  <c r="J14"/>
  <c r="J13"/>
  <c r="J11"/>
  <c r="J71" i="3"/>
  <c r="J73"/>
  <c r="J70"/>
  <c r="J69"/>
  <c r="J68"/>
  <c r="J67"/>
  <c r="J51"/>
  <c r="J52"/>
  <c r="J53"/>
  <c r="J54"/>
  <c r="J55"/>
  <c r="J56"/>
  <c r="J57"/>
  <c r="J58"/>
  <c r="J59"/>
  <c r="J60"/>
  <c r="J61"/>
  <c r="J62"/>
  <c r="J63"/>
  <c r="J50"/>
  <c r="J40"/>
  <c r="J41"/>
  <c r="J42"/>
  <c r="J43"/>
  <c r="J44"/>
  <c r="J45"/>
  <c r="J46"/>
  <c r="J47"/>
  <c r="J48"/>
  <c r="J39"/>
  <c r="J38"/>
  <c r="J37"/>
  <c r="J26"/>
  <c r="J27"/>
  <c r="J28"/>
  <c r="J29"/>
  <c r="J30"/>
  <c r="J31"/>
  <c r="J32"/>
  <c r="J33"/>
  <c r="J34"/>
  <c r="J25"/>
  <c r="J17"/>
  <c r="J18"/>
  <c r="J19"/>
  <c r="J20"/>
  <c r="J21"/>
  <c r="J22"/>
  <c r="J23"/>
  <c r="J16"/>
  <c r="J15"/>
  <c r="J14"/>
  <c r="J13"/>
  <c r="J12"/>
  <c r="J11"/>
  <c r="J51" i="2"/>
  <c r="J49"/>
  <c r="J48"/>
  <c r="J54"/>
  <c r="J53"/>
  <c r="J52"/>
  <c r="J50"/>
  <c r="J40"/>
  <c r="J41"/>
  <c r="J42"/>
  <c r="J43"/>
  <c r="J44"/>
  <c r="J45"/>
  <c r="J39"/>
  <c r="J38"/>
  <c r="J37"/>
  <c r="J36"/>
  <c r="J17"/>
  <c r="J18"/>
  <c r="J19"/>
  <c r="J20"/>
  <c r="J21"/>
  <c r="J22"/>
  <c r="J23"/>
  <c r="J24"/>
  <c r="J25"/>
  <c r="J26"/>
  <c r="J27"/>
  <c r="J16"/>
  <c r="J15"/>
  <c r="J14"/>
  <c r="J12"/>
  <c r="J11"/>
  <c r="J113" i="1"/>
  <c r="J112"/>
  <c r="J111"/>
  <c r="J110"/>
  <c r="J109"/>
  <c r="J108"/>
  <c r="J107"/>
  <c r="J63"/>
  <c r="J62"/>
  <c r="J14"/>
  <c r="J15"/>
  <c r="E14"/>
  <c r="H14" s="1"/>
  <c r="B13"/>
  <c r="J88"/>
  <c r="J89"/>
  <c r="J90"/>
  <c r="J91"/>
  <c r="J92"/>
  <c r="J93"/>
  <c r="J94"/>
  <c r="J95"/>
  <c r="J96"/>
  <c r="J97"/>
  <c r="J98"/>
  <c r="J99"/>
  <c r="J100"/>
  <c r="J101"/>
  <c r="J102"/>
  <c r="J103"/>
  <c r="J8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67"/>
  <c r="J66"/>
  <c r="J65"/>
  <c r="J64"/>
  <c r="J56"/>
  <c r="J37"/>
  <c r="J38"/>
  <c r="J39"/>
  <c r="J40"/>
  <c r="J41"/>
  <c r="J42"/>
  <c r="J43"/>
  <c r="J44"/>
  <c r="J45"/>
  <c r="J46"/>
  <c r="J47"/>
  <c r="J48"/>
  <c r="J49"/>
  <c r="J50"/>
  <c r="J51"/>
  <c r="J52"/>
  <c r="J3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16"/>
  <c r="J13"/>
  <c r="J12"/>
  <c r="J11"/>
  <c r="H70" i="3"/>
  <c r="E25"/>
  <c r="H25" s="1"/>
  <c r="E26"/>
  <c r="H26" s="1"/>
  <c r="E27"/>
  <c r="H27" s="1"/>
  <c r="E28"/>
  <c r="H28" s="1"/>
  <c r="B50" i="6"/>
  <c r="B79" i="4"/>
  <c r="H12" i="2"/>
  <c r="H37"/>
  <c r="H38"/>
  <c r="H48"/>
  <c r="H49"/>
  <c r="H51"/>
  <c r="H54"/>
  <c r="H13"/>
  <c r="H14"/>
  <c r="H107" i="1"/>
  <c r="H108"/>
  <c r="H109"/>
  <c r="H112"/>
  <c r="H113"/>
  <c r="H106"/>
  <c r="H63"/>
  <c r="H65"/>
  <c r="H66"/>
  <c r="H62"/>
  <c r="H13"/>
  <c r="B116"/>
  <c r="H12"/>
  <c r="E89"/>
  <c r="H89" s="1"/>
  <c r="B76" i="3"/>
  <c r="H73"/>
  <c r="E71"/>
  <c r="H71" s="1"/>
  <c r="H69"/>
  <c r="H68"/>
  <c r="H67"/>
  <c r="E72"/>
  <c r="E63"/>
  <c r="H63" s="1"/>
  <c r="E62"/>
  <c r="H62" s="1"/>
  <c r="E61"/>
  <c r="H61" s="1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52"/>
  <c r="H52" s="1"/>
  <c r="E51"/>
  <c r="H51" s="1"/>
  <c r="E50"/>
  <c r="H50" s="1"/>
  <c r="E48"/>
  <c r="H48" s="1"/>
  <c r="E47"/>
  <c r="H47" s="1"/>
  <c r="E46"/>
  <c r="H46" s="1"/>
  <c r="E45"/>
  <c r="H45" s="1"/>
  <c r="E44"/>
  <c r="H44" s="1"/>
  <c r="H43"/>
  <c r="E43"/>
  <c r="E42"/>
  <c r="H42" s="1"/>
  <c r="E41"/>
  <c r="H41" s="1"/>
  <c r="E40"/>
  <c r="H40" s="1"/>
  <c r="E39"/>
  <c r="H39" s="1"/>
  <c r="H38"/>
  <c r="H37"/>
  <c r="E34"/>
  <c r="H34" s="1"/>
  <c r="H33"/>
  <c r="E33"/>
  <c r="E32"/>
  <c r="H32" s="1"/>
  <c r="E31"/>
  <c r="H31" s="1"/>
  <c r="E30"/>
  <c r="H30" s="1"/>
  <c r="E29"/>
  <c r="H29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H13"/>
  <c r="H12"/>
  <c r="H11"/>
  <c r="E2"/>
  <c r="E24" i="12"/>
  <c r="H24" s="1"/>
  <c r="E23"/>
  <c r="H23" s="1"/>
  <c r="E19"/>
  <c r="H19" s="1"/>
  <c r="E18"/>
  <c r="H18" s="1"/>
  <c r="E17"/>
  <c r="H17" s="1"/>
  <c r="E16"/>
  <c r="H16" s="1"/>
  <c r="E15"/>
  <c r="H15" s="1"/>
  <c r="E14"/>
  <c r="H14" s="1"/>
  <c r="H13"/>
  <c r="H12"/>
  <c r="H11"/>
  <c r="E2"/>
  <c r="E3" s="1"/>
  <c r="E42" i="11"/>
  <c r="H42" s="1"/>
  <c r="E43"/>
  <c r="H43" s="1"/>
  <c r="E44"/>
  <c r="H44" s="1"/>
  <c r="E45"/>
  <c r="H45" s="1"/>
  <c r="E46"/>
  <c r="H46" s="1"/>
  <c r="E47"/>
  <c r="H47" s="1"/>
  <c r="E48"/>
  <c r="H48" s="1"/>
  <c r="E49"/>
  <c r="H49" s="1"/>
  <c r="E50"/>
  <c r="H50" s="1"/>
  <c r="E51"/>
  <c r="H51" s="1"/>
  <c r="E66"/>
  <c r="H66" s="1"/>
  <c r="E65"/>
  <c r="H68"/>
  <c r="H69"/>
  <c r="H62"/>
  <c r="B73"/>
  <c r="H67"/>
  <c r="H65"/>
  <c r="H64"/>
  <c r="H63"/>
  <c r="E70"/>
  <c r="H70" s="1"/>
  <c r="E58"/>
  <c r="H58" s="1"/>
  <c r="E57"/>
  <c r="H57" s="1"/>
  <c r="E56"/>
  <c r="H56" s="1"/>
  <c r="E55"/>
  <c r="H55" s="1"/>
  <c r="E54"/>
  <c r="H54" s="1"/>
  <c r="E53"/>
  <c r="H53" s="1"/>
  <c r="E52"/>
  <c r="H52" s="1"/>
  <c r="E41"/>
  <c r="H41" s="1"/>
  <c r="H40"/>
  <c r="E40"/>
  <c r="E39"/>
  <c r="H39" s="1"/>
  <c r="E38"/>
  <c r="H38" s="1"/>
  <c r="E37"/>
  <c r="H37" s="1"/>
  <c r="E36"/>
  <c r="H36" s="1"/>
  <c r="E35"/>
  <c r="H35" s="1"/>
  <c r="H34"/>
  <c r="H33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H13"/>
  <c r="H12"/>
  <c r="H11"/>
  <c r="E2"/>
  <c r="E55" i="10"/>
  <c r="H55" s="1"/>
  <c r="E18"/>
  <c r="H18" s="1"/>
  <c r="E19"/>
  <c r="H19" s="1"/>
  <c r="E40"/>
  <c r="H40" s="1"/>
  <c r="E41"/>
  <c r="H41" s="1"/>
  <c r="E42"/>
  <c r="H42" s="1"/>
  <c r="E43"/>
  <c r="H43" s="1"/>
  <c r="E23"/>
  <c r="H23"/>
  <c r="E24"/>
  <c r="H24" s="1"/>
  <c r="E25"/>
  <c r="H25" s="1"/>
  <c r="B62"/>
  <c r="H58"/>
  <c r="H57"/>
  <c r="E56"/>
  <c r="H56" s="1"/>
  <c r="H54"/>
  <c r="H53"/>
  <c r="E49"/>
  <c r="H49" s="1"/>
  <c r="E48"/>
  <c r="H48" s="1"/>
  <c r="E47"/>
  <c r="H47" s="1"/>
  <c r="E46"/>
  <c r="H46" s="1"/>
  <c r="E45"/>
  <c r="H45" s="1"/>
  <c r="E44"/>
  <c r="H44" s="1"/>
  <c r="E39"/>
  <c r="H39" s="1"/>
  <c r="E38"/>
  <c r="H38" s="1"/>
  <c r="E37"/>
  <c r="H37" s="1"/>
  <c r="E36"/>
  <c r="H36" s="1"/>
  <c r="H35"/>
  <c r="H34"/>
  <c r="E31"/>
  <c r="H31" s="1"/>
  <c r="E30"/>
  <c r="H30" s="1"/>
  <c r="E29"/>
  <c r="H29" s="1"/>
  <c r="E28"/>
  <c r="H28" s="1"/>
  <c r="E27"/>
  <c r="H27" s="1"/>
  <c r="E26"/>
  <c r="H26" s="1"/>
  <c r="E21"/>
  <c r="H21" s="1"/>
  <c r="E20"/>
  <c r="H20" s="1"/>
  <c r="E17"/>
  <c r="H17" s="1"/>
  <c r="E16"/>
  <c r="H16" s="1"/>
  <c r="E15"/>
  <c r="H15" s="1"/>
  <c r="E14"/>
  <c r="H14" s="1"/>
  <c r="H13"/>
  <c r="H12"/>
  <c r="H11"/>
  <c r="E2"/>
  <c r="E49" i="9"/>
  <c r="H49" s="1"/>
  <c r="E29"/>
  <c r="H29" s="1"/>
  <c r="H17"/>
  <c r="H53"/>
  <c r="E52"/>
  <c r="H52" s="1"/>
  <c r="H35"/>
  <c r="E42"/>
  <c r="H42" s="1"/>
  <c r="E43"/>
  <c r="H43" s="1"/>
  <c r="E44"/>
  <c r="H44" s="1"/>
  <c r="E45"/>
  <c r="H45" s="1"/>
  <c r="E46"/>
  <c r="H46" s="1"/>
  <c r="E25"/>
  <c r="H15"/>
  <c r="H13"/>
  <c r="B58"/>
  <c r="H54"/>
  <c r="H51"/>
  <c r="H55"/>
  <c r="E41"/>
  <c r="H41" s="1"/>
  <c r="E40"/>
  <c r="H40" s="1"/>
  <c r="E39"/>
  <c r="H39" s="1"/>
  <c r="E38"/>
  <c r="H38" s="1"/>
  <c r="E37"/>
  <c r="H37" s="1"/>
  <c r="H34"/>
  <c r="H33"/>
  <c r="E28"/>
  <c r="H28" s="1"/>
  <c r="E27"/>
  <c r="H27" s="1"/>
  <c r="E26"/>
  <c r="H26" s="1"/>
  <c r="H25"/>
  <c r="E24"/>
  <c r="H24" s="1"/>
  <c r="E23"/>
  <c r="H23" s="1"/>
  <c r="E22"/>
  <c r="H22" s="1"/>
  <c r="E21"/>
  <c r="H21" s="1"/>
  <c r="E20"/>
  <c r="H20" s="1"/>
  <c r="E19"/>
  <c r="H19" s="1"/>
  <c r="E18"/>
  <c r="H18" s="1"/>
  <c r="H16"/>
  <c r="E11"/>
  <c r="H11" s="1"/>
  <c r="H12"/>
  <c r="E2"/>
  <c r="H46" i="8"/>
  <c r="E42"/>
  <c r="H42" s="1"/>
  <c r="E27"/>
  <c r="H27" s="1"/>
  <c r="E28"/>
  <c r="H28" s="1"/>
  <c r="B51"/>
  <c r="H47"/>
  <c r="H45"/>
  <c r="H48"/>
  <c r="H41"/>
  <c r="E38"/>
  <c r="H38" s="1"/>
  <c r="E37"/>
  <c r="H37" s="1"/>
  <c r="E36"/>
  <c r="H36" s="1"/>
  <c r="E35"/>
  <c r="H35" s="1"/>
  <c r="E34"/>
  <c r="H34" s="1"/>
  <c r="H33"/>
  <c r="H32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H14"/>
  <c r="E2"/>
  <c r="E48" i="7"/>
  <c r="H48" s="1"/>
  <c r="E49"/>
  <c r="H49" s="1"/>
  <c r="E50"/>
  <c r="H50" s="1"/>
  <c r="E51"/>
  <c r="H51" s="1"/>
  <c r="E52"/>
  <c r="H52" s="1"/>
  <c r="E30"/>
  <c r="H30" s="1"/>
  <c r="E31"/>
  <c r="H31" s="1"/>
  <c r="E46"/>
  <c r="H46" s="1"/>
  <c r="E47"/>
  <c r="H47" s="1"/>
  <c r="E53"/>
  <c r="H53" s="1"/>
  <c r="E54"/>
  <c r="H54" s="1"/>
  <c r="E55"/>
  <c r="H55" s="1"/>
  <c r="E56"/>
  <c r="H56" s="1"/>
  <c r="E57"/>
  <c r="H57" s="1"/>
  <c r="E24"/>
  <c r="H24" s="1"/>
  <c r="E25"/>
  <c r="H25" s="1"/>
  <c r="E26"/>
  <c r="H26" s="1"/>
  <c r="B68"/>
  <c r="H64"/>
  <c r="H63"/>
  <c r="H62"/>
  <c r="H60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7"/>
  <c r="H37" s="1"/>
  <c r="H36"/>
  <c r="H35"/>
  <c r="E29"/>
  <c r="H29" s="1"/>
  <c r="E28"/>
  <c r="H28" s="1"/>
  <c r="E27"/>
  <c r="H27" s="1"/>
  <c r="E23"/>
  <c r="H23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H12"/>
  <c r="E11"/>
  <c r="H11" s="1"/>
  <c r="E2"/>
  <c r="E45" i="6"/>
  <c r="H45" s="1"/>
  <c r="E46"/>
  <c r="H46" s="1"/>
  <c r="E48"/>
  <c r="H47"/>
  <c r="E15"/>
  <c r="H15" s="1"/>
  <c r="B52"/>
  <c r="H49"/>
  <c r="H48"/>
  <c r="H44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33"/>
  <c r="H33" s="1"/>
  <c r="H32"/>
  <c r="H31"/>
  <c r="E30"/>
  <c r="H30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4"/>
  <c r="H14" s="1"/>
  <c r="H13"/>
  <c r="H12"/>
  <c r="E11"/>
  <c r="H11" s="1"/>
  <c r="E2"/>
  <c r="E3" s="1"/>
  <c r="E73" i="5"/>
  <c r="H73" s="1"/>
  <c r="E74"/>
  <c r="H74" s="1"/>
  <c r="E28"/>
  <c r="H28" s="1"/>
  <c r="E30"/>
  <c r="H30" s="1"/>
  <c r="E31"/>
  <c r="H31" s="1"/>
  <c r="E32"/>
  <c r="H32" s="1"/>
  <c r="E33"/>
  <c r="H33" s="1"/>
  <c r="E34"/>
  <c r="H34" s="1"/>
  <c r="H82"/>
  <c r="E37"/>
  <c r="H37" s="1"/>
  <c r="E38"/>
  <c r="H38" s="1"/>
  <c r="B89"/>
  <c r="B87"/>
  <c r="H86"/>
  <c r="H83"/>
  <c r="E84"/>
  <c r="H84" s="1"/>
  <c r="H81"/>
  <c r="H85"/>
  <c r="E78"/>
  <c r="H78" s="1"/>
  <c r="E77"/>
  <c r="H77" s="1"/>
  <c r="H76"/>
  <c r="E76"/>
  <c r="E75"/>
  <c r="H75" s="1"/>
  <c r="E72"/>
  <c r="H72" s="1"/>
  <c r="E71"/>
  <c r="H71" s="1"/>
  <c r="E70"/>
  <c r="H70" s="1"/>
  <c r="E69"/>
  <c r="H69" s="1"/>
  <c r="E68"/>
  <c r="H68" s="1"/>
  <c r="E67"/>
  <c r="H67" s="1"/>
  <c r="E66"/>
  <c r="H66" s="1"/>
  <c r="E65"/>
  <c r="H65" s="1"/>
  <c r="E63"/>
  <c r="H63" s="1"/>
  <c r="E62"/>
  <c r="H62" s="1"/>
  <c r="E61"/>
  <c r="H61" s="1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H52"/>
  <c r="H51"/>
  <c r="E50"/>
  <c r="H50" s="1"/>
  <c r="E43"/>
  <c r="H43" s="1"/>
  <c r="E42"/>
  <c r="H42" s="1"/>
  <c r="E41"/>
  <c r="H41" s="1"/>
  <c r="E40"/>
  <c r="H40" s="1"/>
  <c r="E39"/>
  <c r="H39" s="1"/>
  <c r="E46"/>
  <c r="H46" s="1"/>
  <c r="E45"/>
  <c r="H45" s="1"/>
  <c r="E36"/>
  <c r="H36" s="1"/>
  <c r="E35"/>
  <c r="H35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H13"/>
  <c r="H12"/>
  <c r="E11"/>
  <c r="H11" s="1"/>
  <c r="E2"/>
  <c r="E3" s="1"/>
  <c r="H44" i="4"/>
  <c r="H45"/>
  <c r="H65"/>
  <c r="H72"/>
  <c r="H73"/>
  <c r="H75"/>
  <c r="H78"/>
  <c r="H12"/>
  <c r="H13"/>
  <c r="H34"/>
  <c r="H36"/>
  <c r="E38"/>
  <c r="H38" s="1"/>
  <c r="E39"/>
  <c r="H39" s="1"/>
  <c r="E34"/>
  <c r="E35"/>
  <c r="H35" s="1"/>
  <c r="E36"/>
  <c r="E37"/>
  <c r="H37" s="1"/>
  <c r="E65"/>
  <c r="E66"/>
  <c r="H66" s="1"/>
  <c r="E67"/>
  <c r="H67" s="1"/>
  <c r="E68"/>
  <c r="H68" s="1"/>
  <c r="E69"/>
  <c r="H69" s="1"/>
  <c r="E61"/>
  <c r="H61" s="1"/>
  <c r="E62"/>
  <c r="H62" s="1"/>
  <c r="E63"/>
  <c r="H63" s="1"/>
  <c r="E64"/>
  <c r="H64" s="1"/>
  <c r="E53"/>
  <c r="H53" s="1"/>
  <c r="E54"/>
  <c r="H54" s="1"/>
  <c r="E55"/>
  <c r="H55" s="1"/>
  <c r="E56"/>
  <c r="H56" s="1"/>
  <c r="E58"/>
  <c r="H58" s="1"/>
  <c r="E59"/>
  <c r="H59" s="1"/>
  <c r="E60"/>
  <c r="H60" s="1"/>
  <c r="E28"/>
  <c r="H28" s="1"/>
  <c r="E29"/>
  <c r="H29" s="1"/>
  <c r="E30"/>
  <c r="H30" s="1"/>
  <c r="E31"/>
  <c r="H31" s="1"/>
  <c r="E32"/>
  <c r="H32" s="1"/>
  <c r="E33"/>
  <c r="H33" s="1"/>
  <c r="B81"/>
  <c r="E77"/>
  <c r="H77" s="1"/>
  <c r="E76"/>
  <c r="H76" s="1"/>
  <c r="E74"/>
  <c r="H74" s="1"/>
  <c r="E52"/>
  <c r="H52" s="1"/>
  <c r="E51"/>
  <c r="H51" s="1"/>
  <c r="E50"/>
  <c r="H50" s="1"/>
  <c r="E49"/>
  <c r="H49" s="1"/>
  <c r="E48"/>
  <c r="H48" s="1"/>
  <c r="E47"/>
  <c r="H47" s="1"/>
  <c r="E46"/>
  <c r="H46" s="1"/>
  <c r="E43"/>
  <c r="H43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1"/>
  <c r="H11" s="1"/>
  <c r="E2"/>
  <c r="E3" s="1"/>
  <c r="E50" i="2"/>
  <c r="H50" s="1"/>
  <c r="B55"/>
  <c r="E27"/>
  <c r="H27" s="1"/>
  <c r="B57"/>
  <c r="E53"/>
  <c r="H53" s="1"/>
  <c r="E52"/>
  <c r="H52" s="1"/>
  <c r="E45"/>
  <c r="H45" s="1"/>
  <c r="E44"/>
  <c r="H44" s="1"/>
  <c r="E43"/>
  <c r="H43" s="1"/>
  <c r="E42"/>
  <c r="H42" s="1"/>
  <c r="E41"/>
  <c r="H41" s="1"/>
  <c r="E40"/>
  <c r="H40" s="1"/>
  <c r="E39"/>
  <c r="H39" s="1"/>
  <c r="E36"/>
  <c r="H36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1"/>
  <c r="H11" s="1"/>
  <c r="E2"/>
  <c r="E3" s="1"/>
  <c r="E51" i="1"/>
  <c r="H51" s="1"/>
  <c r="E52"/>
  <c r="H52" s="1"/>
  <c r="E97"/>
  <c r="H97" s="1"/>
  <c r="E98"/>
  <c r="H98" s="1"/>
  <c r="E99"/>
  <c r="H99" s="1"/>
  <c r="E100"/>
  <c r="H100" s="1"/>
  <c r="E101"/>
  <c r="H101" s="1"/>
  <c r="E102"/>
  <c r="H102" s="1"/>
  <c r="E103"/>
  <c r="H103" s="1"/>
  <c r="L63"/>
  <c r="E2"/>
  <c r="E67"/>
  <c r="H67" s="1"/>
  <c r="E68"/>
  <c r="H68" s="1"/>
  <c r="E69"/>
  <c r="H69" s="1"/>
  <c r="E70"/>
  <c r="H70" s="1"/>
  <c r="E71"/>
  <c r="H71" s="1"/>
  <c r="E72"/>
  <c r="H72" s="1"/>
  <c r="E73"/>
  <c r="H73" s="1"/>
  <c r="E74"/>
  <c r="H74" s="1"/>
  <c r="E75"/>
  <c r="H75" s="1"/>
  <c r="E76"/>
  <c r="H76" s="1"/>
  <c r="E77"/>
  <c r="H77" s="1"/>
  <c r="E110"/>
  <c r="H110" s="1"/>
  <c r="E111"/>
  <c r="H111" s="1"/>
  <c r="E79"/>
  <c r="H79" s="1"/>
  <c r="E80"/>
  <c r="H80" s="1"/>
  <c r="E81"/>
  <c r="H81" s="1"/>
  <c r="E82"/>
  <c r="H82" s="1"/>
  <c r="E83"/>
  <c r="H83" s="1"/>
  <c r="E84"/>
  <c r="H84" s="1"/>
  <c r="E85"/>
  <c r="H85" s="1"/>
  <c r="E87"/>
  <c r="H87" s="1"/>
  <c r="E88"/>
  <c r="H88" s="1"/>
  <c r="E90"/>
  <c r="H90" s="1"/>
  <c r="E91"/>
  <c r="H91" s="1"/>
  <c r="E92"/>
  <c r="H92" s="1"/>
  <c r="E93"/>
  <c r="H93" s="1"/>
  <c r="E94"/>
  <c r="H94" s="1"/>
  <c r="E95"/>
  <c r="H95" s="1"/>
  <c r="E96"/>
  <c r="H96" s="1"/>
  <c r="E78"/>
  <c r="H78" s="1"/>
  <c r="E64"/>
  <c r="H64" s="1"/>
  <c r="E56"/>
  <c r="H56" s="1"/>
  <c r="C75" i="11" l="1"/>
  <c r="C64" i="10"/>
  <c r="C60" i="9"/>
  <c r="C53" i="8"/>
  <c r="C70" i="7"/>
  <c r="C118" i="1"/>
  <c r="J57" i="2"/>
  <c r="C78" i="3"/>
  <c r="J87" i="5"/>
  <c r="J33" i="12"/>
  <c r="C37"/>
  <c r="B115" i="1"/>
  <c r="J74" i="3"/>
  <c r="E3"/>
  <c r="E4" s="1"/>
  <c r="E5" s="1"/>
  <c r="E6" s="1"/>
  <c r="E3" i="1"/>
  <c r="E4" i="12"/>
  <c r="E3" i="11"/>
  <c r="E4" s="1"/>
  <c r="E3" i="10"/>
  <c r="E4" s="1"/>
  <c r="E3" i="9"/>
  <c r="E4" s="1"/>
  <c r="E3" i="8"/>
  <c r="E4" s="1"/>
  <c r="E5" s="1"/>
  <c r="E3" i="7"/>
  <c r="E4" s="1"/>
  <c r="E5" s="1"/>
  <c r="E6" s="1"/>
  <c r="J50" i="6"/>
  <c r="E4"/>
  <c r="C54"/>
  <c r="C91" i="5"/>
  <c r="E4"/>
  <c r="J79" i="4"/>
  <c r="E4"/>
  <c r="C83"/>
  <c r="E4" i="2"/>
  <c r="J56" s="1"/>
  <c r="C59"/>
  <c r="E5" i="12" l="1"/>
  <c r="E6" s="1"/>
  <c r="E5" i="11"/>
  <c r="E6" s="1"/>
  <c r="E5" i="10"/>
  <c r="E6" s="1"/>
  <c r="E5" i="9"/>
  <c r="E6" s="1"/>
  <c r="E6" i="8"/>
  <c r="E5" i="6"/>
  <c r="E6" s="1"/>
  <c r="E5" i="5"/>
  <c r="E6" s="1"/>
  <c r="E5" i="4"/>
  <c r="E6" s="1"/>
  <c r="E5" i="2"/>
  <c r="E6" s="1"/>
  <c r="E4" i="1"/>
  <c r="E17"/>
  <c r="H17" s="1"/>
  <c r="E18"/>
  <c r="H18" s="1"/>
  <c r="E19"/>
  <c r="H19" s="1"/>
  <c r="E20"/>
  <c r="H20" s="1"/>
  <c r="E21"/>
  <c r="H21" s="1"/>
  <c r="E22"/>
  <c r="H22" s="1"/>
  <c r="E23"/>
  <c r="H23" s="1"/>
  <c r="E24"/>
  <c r="H24" s="1"/>
  <c r="E25"/>
  <c r="H25" s="1"/>
  <c r="E26"/>
  <c r="H26" s="1"/>
  <c r="E27"/>
  <c r="H27" s="1"/>
  <c r="E28"/>
  <c r="H28" s="1"/>
  <c r="E29"/>
  <c r="H29" s="1"/>
  <c r="E30"/>
  <c r="H30" s="1"/>
  <c r="E31"/>
  <c r="H31" s="1"/>
  <c r="E32"/>
  <c r="H32" s="1"/>
  <c r="E33"/>
  <c r="H33" s="1"/>
  <c r="E34"/>
  <c r="H34" s="1"/>
  <c r="E36"/>
  <c r="H36" s="1"/>
  <c r="E37"/>
  <c r="H37" s="1"/>
  <c r="E38"/>
  <c r="H38" s="1"/>
  <c r="E39"/>
  <c r="H39" s="1"/>
  <c r="E40"/>
  <c r="H40" s="1"/>
  <c r="E41"/>
  <c r="H41" s="1"/>
  <c r="E42"/>
  <c r="H42" s="1"/>
  <c r="E43"/>
  <c r="H43" s="1"/>
  <c r="E44"/>
  <c r="H44" s="1"/>
  <c r="E45"/>
  <c r="H45" s="1"/>
  <c r="E46"/>
  <c r="H46" s="1"/>
  <c r="E47"/>
  <c r="H47" s="1"/>
  <c r="E48"/>
  <c r="H48" s="1"/>
  <c r="E49"/>
  <c r="H49" s="1"/>
  <c r="E50"/>
  <c r="H50" s="1"/>
  <c r="E16"/>
  <c r="H16" s="1"/>
  <c r="E15"/>
  <c r="H15" s="1"/>
  <c r="E11"/>
  <c r="H11" s="1"/>
  <c r="E5" l="1"/>
  <c r="E6" s="1"/>
</calcChain>
</file>

<file path=xl/sharedStrings.xml><?xml version="1.0" encoding="utf-8"?>
<sst xmlns="http://schemas.openxmlformats.org/spreadsheetml/2006/main" count="2452" uniqueCount="578">
  <si>
    <t>Wage component</t>
  </si>
  <si>
    <t>Projected Job card</t>
  </si>
  <si>
    <t>Material component</t>
  </si>
  <si>
    <t>Total</t>
  </si>
  <si>
    <t>Admin. Cost</t>
  </si>
  <si>
    <t>G.Total</t>
  </si>
  <si>
    <t>Name of Project</t>
  </si>
  <si>
    <t>Person days to be Generated</t>
  </si>
  <si>
    <t>Name of Work</t>
  </si>
  <si>
    <t>Location</t>
  </si>
  <si>
    <t>Dimension in m</t>
  </si>
  <si>
    <t>CATEGORY - A               PUBLIC WORKS RELATING TO NATURAL RESOURCES MANAGEMENT –</t>
  </si>
  <si>
    <t>Watershed Management Works</t>
  </si>
  <si>
    <t>Traditional Water Bodies</t>
  </si>
  <si>
    <t>Excavation</t>
  </si>
  <si>
    <t>Drought Proofing</t>
  </si>
  <si>
    <t>Afforestation</t>
  </si>
  <si>
    <t>Plantation</t>
  </si>
  <si>
    <t>Road / Canal Side Plantation</t>
  </si>
  <si>
    <t>Land Development</t>
  </si>
  <si>
    <t>Bench Terracing</t>
  </si>
  <si>
    <t>CATEGORY - B     COMMUNITY ASSETS OR INDIVIDUAL ASSETS FOR VULNERABLE SECTIONS (ONLY FOR HOUSEHOLDS IN PARAGRAPH 5</t>
  </si>
  <si>
    <t>Improving productivity of lands</t>
  </si>
  <si>
    <t>Land Levelling and Shaping</t>
  </si>
  <si>
    <t>Diversion Channels</t>
  </si>
  <si>
    <t>Vermi Composting</t>
  </si>
  <si>
    <t>Development of fallow/waste lands</t>
  </si>
  <si>
    <t>Development of Waste Land</t>
  </si>
  <si>
    <t>Promotion of livestock</t>
  </si>
  <si>
    <t>Promotion of fisheries</t>
  </si>
  <si>
    <t>Excavation of Pond</t>
  </si>
  <si>
    <t>Common work-sheds for livelihood activities of self-help groups</t>
  </si>
  <si>
    <t>CATEGORY - D                             RURAL INFRASTRUCTURE:</t>
  </si>
  <si>
    <t>Drainage Channel</t>
  </si>
  <si>
    <t>Individual Household Latrines</t>
  </si>
  <si>
    <t>InterLocking Cement Block Road</t>
  </si>
  <si>
    <t>Play fields</t>
  </si>
  <si>
    <t>Strengthening Weak Embankment   i.e Retaining Wall, Gabion wall</t>
  </si>
  <si>
    <t xml:space="preserve">Under Labour Component </t>
  </si>
  <si>
    <t>Lakhs</t>
  </si>
  <si>
    <t xml:space="preserve">Under Material Component </t>
  </si>
  <si>
    <t>Two nos at Vernglai Thlanmual 1 &amp; 2</t>
  </si>
  <si>
    <t>Venglai area</t>
  </si>
  <si>
    <t xml:space="preserve">F.Lalrammawia j/c no. 712 huan and other 9 nos Venglai area </t>
  </si>
  <si>
    <t>C.Kapvela,Darrulchuk J/c no.904</t>
  </si>
  <si>
    <t xml:space="preserve"> At Venglai area</t>
  </si>
  <si>
    <t>5nos at Venglai area</t>
  </si>
  <si>
    <t>At Venglai area</t>
  </si>
  <si>
    <t>Football ground</t>
  </si>
  <si>
    <t xml:space="preserve"> Volley Ball Court </t>
  </si>
  <si>
    <t>Name of Village : Venglai</t>
  </si>
  <si>
    <t>Name of Village : College veng</t>
  </si>
  <si>
    <t>Slab culvert</t>
  </si>
  <si>
    <t>Hmarveng area</t>
  </si>
  <si>
    <t>Diakkawn area</t>
  </si>
  <si>
    <t>K.Thangluaia huan</t>
  </si>
  <si>
    <t>Lalangi</t>
  </si>
  <si>
    <t>Vanlalsiami in bul</t>
  </si>
  <si>
    <t>Formation cutting</t>
  </si>
  <si>
    <t>Electric veng area</t>
  </si>
  <si>
    <t>Tuilut</t>
  </si>
  <si>
    <t>Lalngaihawma</t>
  </si>
  <si>
    <t>Tumpui area</t>
  </si>
  <si>
    <t>Thlanmual</t>
  </si>
  <si>
    <t>Challui veng</t>
  </si>
  <si>
    <t>Hermon veng</t>
  </si>
  <si>
    <t>Poultry shelter</t>
  </si>
  <si>
    <t>Piggery shed</t>
  </si>
  <si>
    <t>Work Code : 2205002021/RS/5986</t>
  </si>
  <si>
    <t>Asset Name</t>
  </si>
  <si>
    <t>Asset ID</t>
  </si>
  <si>
    <t>asset Type</t>
  </si>
  <si>
    <t>Asset Description</t>
  </si>
  <si>
    <t>Ihhl 1 at Rengtekawn</t>
  </si>
  <si>
    <t>N</t>
  </si>
  <si>
    <t>Ihhl 2 at Rengtekawn</t>
  </si>
  <si>
    <t>Ihhl 3 at Rengtekawn</t>
  </si>
  <si>
    <t>Ihhl 4 at Rengtekawn</t>
  </si>
  <si>
    <t>Ihhl 5 at Rengtekawn</t>
  </si>
  <si>
    <t>Ihhl 6 at Rengtekawn</t>
  </si>
  <si>
    <t>Ihhl 7 at Rengtekawn</t>
  </si>
  <si>
    <t>Ihhl 8 at Rengtekawn</t>
  </si>
  <si>
    <t>Ihhl 9 at Rengtekawn</t>
  </si>
  <si>
    <t>Ihhl 10 at Rengtekawn</t>
  </si>
  <si>
    <t>Ihhl 11 at Rengtekawn</t>
  </si>
  <si>
    <t>Ihhl 12 at Rengtekawn</t>
  </si>
  <si>
    <t>Ihhl 13 at Rengtekawn</t>
  </si>
  <si>
    <t>Ihhl 14 at Rengtekawn</t>
  </si>
  <si>
    <t>Ihhl 15 at Rengtekawn</t>
  </si>
  <si>
    <t>Ihhl 16 at Rengtekawn</t>
  </si>
  <si>
    <t>Ihhl 17 at Rengtekawn</t>
  </si>
  <si>
    <t>Ihhl 18 at Rengtekawn</t>
  </si>
  <si>
    <t>Ihhl 19 at Rengtekawn</t>
  </si>
  <si>
    <t>Ihhl 20 at Rengtekawn</t>
  </si>
  <si>
    <t xml:space="preserve"> ANNUAL ACTION PLAN 2019-2020   (BILKHAWTHLIR RD BLOCK)</t>
  </si>
  <si>
    <t>Farm Pond 14 nos</t>
  </si>
  <si>
    <t>Ruralsanitation</t>
  </si>
  <si>
    <t xml:space="preserve"> Venglai area</t>
  </si>
  <si>
    <t>Ruralconectivity</t>
  </si>
  <si>
    <t>2nos. at Venglai area</t>
  </si>
  <si>
    <t>20 nos at venglai</t>
  </si>
  <si>
    <t>10 nos. at Venglai area</t>
  </si>
  <si>
    <t>L</t>
  </si>
  <si>
    <t>B</t>
  </si>
  <si>
    <t>H</t>
  </si>
  <si>
    <t>Q</t>
  </si>
  <si>
    <t>Unit</t>
  </si>
  <si>
    <t>Venglai Kanan veng</t>
  </si>
  <si>
    <t>OVERALL LABOUR MATERIAL RATIO in the GP in year 2019- 2020 will be ---     90:10</t>
  </si>
  <si>
    <t>Farm Pond 2 nos</t>
  </si>
  <si>
    <t>Tuikhur siam 2 nos</t>
  </si>
  <si>
    <t>Community toilet near YMA hall</t>
  </si>
  <si>
    <t>College veng</t>
  </si>
  <si>
    <t>Futsal ground</t>
  </si>
  <si>
    <t>Flood control</t>
  </si>
  <si>
    <t>Concrete flooring</t>
  </si>
  <si>
    <t>2 nos atCollege veng</t>
  </si>
  <si>
    <t>Drainage channel</t>
  </si>
  <si>
    <t>Link road laih</t>
  </si>
  <si>
    <t>Work code</t>
  </si>
  <si>
    <t>Tuikhur chhak and Vc ram</t>
  </si>
  <si>
    <t>Thlanmual ram</t>
  </si>
  <si>
    <t>1.Field sir 2.F.Aizinga in bul 3.VL Rema in bul</t>
  </si>
  <si>
    <t>Tuikhur siam 3 nos</t>
  </si>
  <si>
    <t>Construction of culvert</t>
  </si>
  <si>
    <t xml:space="preserve">Construction of Internal road </t>
  </si>
  <si>
    <t>Cum</t>
  </si>
  <si>
    <t>cum</t>
  </si>
  <si>
    <t>Name of Village : Hmarveng</t>
  </si>
  <si>
    <t>Khur laih</t>
  </si>
  <si>
    <t>Tuikhur siam1 nos</t>
  </si>
  <si>
    <t>Laying of paver block</t>
  </si>
  <si>
    <t>Diakkawn taxi stand</t>
  </si>
  <si>
    <t xml:space="preserve">1.Denghnuna inbul2.R.Tnangchullova in chhak </t>
  </si>
  <si>
    <t>Side drain</t>
  </si>
  <si>
    <t>Diakkawn field</t>
  </si>
  <si>
    <t>Thlanmual road</t>
  </si>
  <si>
    <t>Boulder flooringflooring</t>
  </si>
  <si>
    <t>Thenphek road</t>
  </si>
  <si>
    <t>Name of Village : Diakkawn</t>
  </si>
  <si>
    <t>Name of Village : Rengtekawn</t>
  </si>
  <si>
    <t>YMA park</t>
  </si>
  <si>
    <t>Play field</t>
  </si>
  <si>
    <t>Field laih</t>
  </si>
  <si>
    <t>Rengtekawn</t>
  </si>
  <si>
    <t>Zau kawng laih</t>
  </si>
  <si>
    <t>Cross drainage ch</t>
  </si>
  <si>
    <t>AWC center No.XIV road</t>
  </si>
  <si>
    <t>SHG building sak</t>
  </si>
  <si>
    <t>1nos atCollege veng</t>
  </si>
  <si>
    <t>Name of Village : Saidan/Tuithaveng</t>
  </si>
  <si>
    <t>Water conservation</t>
  </si>
  <si>
    <t>Water tank</t>
  </si>
  <si>
    <t>Saidan</t>
  </si>
  <si>
    <t>Pharitlang</t>
  </si>
  <si>
    <t>Rengtelui</t>
  </si>
  <si>
    <t>Lahmuntlang</t>
  </si>
  <si>
    <t>Sekah tlang</t>
  </si>
  <si>
    <t>Enkhel zau</t>
  </si>
  <si>
    <t>Di hmun zau</t>
  </si>
  <si>
    <t>Rengtetlangsang</t>
  </si>
  <si>
    <t>Dil zau</t>
  </si>
  <si>
    <t>Pharimawng</t>
  </si>
  <si>
    <t>Thinglubul</t>
  </si>
  <si>
    <t>Pangangzau</t>
  </si>
  <si>
    <t>Saibual</t>
  </si>
  <si>
    <t>Dar rul chuk lui</t>
  </si>
  <si>
    <t>Dihmun tlang</t>
  </si>
  <si>
    <t>Govt. P/S, Saidan</t>
  </si>
  <si>
    <t>AWC toilet</t>
  </si>
  <si>
    <t>Tuithaveng</t>
  </si>
  <si>
    <t>Neihsanga in to Khumzaliana in</t>
  </si>
  <si>
    <t>UPS to Health sub Center</t>
  </si>
  <si>
    <t>Retaining wall</t>
  </si>
  <si>
    <t>Chawngfianga M/S ,Saidan</t>
  </si>
  <si>
    <t>Laltanpuia huan</t>
  </si>
  <si>
    <t>J.Zodinpuii huan</t>
  </si>
  <si>
    <t>Lalchungnunga huan</t>
  </si>
  <si>
    <t>R.Lalsiamliana huan</t>
  </si>
  <si>
    <t>Half-moon terrace</t>
  </si>
  <si>
    <t>Lalsangliana huan</t>
  </si>
  <si>
    <t>Lalangi huan</t>
  </si>
  <si>
    <t>Thanchhingi huan</t>
  </si>
  <si>
    <t>Saitawna huan</t>
  </si>
  <si>
    <t>V.L.Mawia huan</t>
  </si>
  <si>
    <t>Lei let laih zawl</t>
  </si>
  <si>
    <t>Vanlalhmuaki</t>
  </si>
  <si>
    <t>Saitawna</t>
  </si>
  <si>
    <t>Road side Plantation</t>
  </si>
  <si>
    <t>Farm Pond 3 nos</t>
  </si>
  <si>
    <t>Sailova</t>
  </si>
  <si>
    <t>K.Thangluaia huan kawr</t>
  </si>
  <si>
    <t>Laltlanthangi in bul</t>
  </si>
  <si>
    <t>H.Lalropuia in bul</t>
  </si>
  <si>
    <t>Public toilet</t>
  </si>
  <si>
    <t>Chhuangi in phei</t>
  </si>
  <si>
    <t>Volley ball court</t>
  </si>
  <si>
    <t>K.Lalremmawia in bul</t>
  </si>
  <si>
    <t>2nos atCollege veng</t>
  </si>
  <si>
    <t>Name of Village : Kolasib Project veng</t>
  </si>
  <si>
    <t>Malsawmi</t>
  </si>
  <si>
    <t>Vanlalruala</t>
  </si>
  <si>
    <t>Jenet Zothanpuii</t>
  </si>
  <si>
    <t>Water tank 3 nos</t>
  </si>
  <si>
    <t>Project veng area</t>
  </si>
  <si>
    <t>Boulder check</t>
  </si>
  <si>
    <t>K.Lalnuntluanga</t>
  </si>
  <si>
    <t>Lalthansiami</t>
  </si>
  <si>
    <t>C.Zoramchhana</t>
  </si>
  <si>
    <t>Lalrimawii</t>
  </si>
  <si>
    <t>Lalmalsawma</t>
  </si>
  <si>
    <t>Lalthawmmawii</t>
  </si>
  <si>
    <t>Laldintluangi</t>
  </si>
  <si>
    <t>Nuthangi</t>
  </si>
  <si>
    <t>J.Ngurchhuanmawia</t>
  </si>
  <si>
    <t>T.Lalrothila</t>
  </si>
  <si>
    <t>R.Vanlalhruaia</t>
  </si>
  <si>
    <t>P.C Lalramzuava</t>
  </si>
  <si>
    <t>Lalsangmawii</t>
  </si>
  <si>
    <t>Lalrochhingi</t>
  </si>
  <si>
    <t>Nukungi</t>
  </si>
  <si>
    <t>2nos at Project veng</t>
  </si>
  <si>
    <t>Compospit 3 nos</t>
  </si>
  <si>
    <t xml:space="preserve"> Project veng</t>
  </si>
  <si>
    <t>YMA field to Sailiani in</t>
  </si>
  <si>
    <t>Vermi compost pit</t>
  </si>
  <si>
    <t>K.Lalrimawia</t>
  </si>
  <si>
    <t>Play ground</t>
  </si>
  <si>
    <t>Forest Division</t>
  </si>
  <si>
    <t>Renovation of Traditional water body</t>
  </si>
  <si>
    <t>Tuikhur siam</t>
  </si>
  <si>
    <t>Name of Village : Kolasib Tumpui</t>
  </si>
  <si>
    <t>Leilet laih zawl</t>
  </si>
  <si>
    <t>Kawnglaih</t>
  </si>
  <si>
    <t>Sangluaia in to Dakin</t>
  </si>
  <si>
    <t>Tumpui to Bairabi road</t>
  </si>
  <si>
    <t>Denghmingthanga in bul</t>
  </si>
  <si>
    <t>Mimal huan</t>
  </si>
  <si>
    <t>New Diakkawn Thlanmual</t>
  </si>
  <si>
    <t>New Diakkawn area</t>
  </si>
  <si>
    <t>Lalnunnema huan</t>
  </si>
  <si>
    <t>Rokungi huan</t>
  </si>
  <si>
    <t>Vanlalremi huan</t>
  </si>
  <si>
    <t>Vanlalhruaia huan</t>
  </si>
  <si>
    <t>F.Lalhmingmawia huan</t>
  </si>
  <si>
    <t>Lalringi huan</t>
  </si>
  <si>
    <t>L.H Lalhmangaihpari</t>
  </si>
  <si>
    <t>Lalnuntluangi huan</t>
  </si>
  <si>
    <t>Unionthanga huan</t>
  </si>
  <si>
    <t>H.Lalremruata huan</t>
  </si>
  <si>
    <t>Lalsiama huan</t>
  </si>
  <si>
    <t>Lalthanthuama huan</t>
  </si>
  <si>
    <t>P.C Zahmingthanga huan</t>
  </si>
  <si>
    <t>Lalkhawluna huan</t>
  </si>
  <si>
    <t>Boulder flooring</t>
  </si>
  <si>
    <t>Gabion structure</t>
  </si>
  <si>
    <t>Challui veng to Bungmual</t>
  </si>
  <si>
    <t>Construction of Bridge</t>
  </si>
  <si>
    <t>Public urinal</t>
  </si>
  <si>
    <t>Bungmual ram</t>
  </si>
  <si>
    <t>Name of Village : N.Thinglian</t>
  </si>
  <si>
    <t>Name of Village : Kolasib Vengthar</t>
  </si>
  <si>
    <t>Ngurzikpuii huan</t>
  </si>
  <si>
    <t>H.P Lalfamkima</t>
  </si>
  <si>
    <t>R.K Kunga</t>
  </si>
  <si>
    <t>T.Lalrinzuala</t>
  </si>
  <si>
    <t>C.Zonunsangi</t>
  </si>
  <si>
    <t>Lalhmunsiama</t>
  </si>
  <si>
    <t>Lalzawmliana huan</t>
  </si>
  <si>
    <t>Remsiama huan</t>
  </si>
  <si>
    <t>L.Khumtira huan</t>
  </si>
  <si>
    <t>Lalrinliana huan</t>
  </si>
  <si>
    <t>T.Lalrinzuala huan</t>
  </si>
  <si>
    <t>Lalhmangaihi huan</t>
  </si>
  <si>
    <t>K.Zarzokimi huan</t>
  </si>
  <si>
    <t>Krawsnunhlui huan</t>
  </si>
  <si>
    <t>Michael Lalrindika huan</t>
  </si>
  <si>
    <t>V.L.Ruata huan</t>
  </si>
  <si>
    <t>C.Zonunsangi huan</t>
  </si>
  <si>
    <t>Zaithangi huan</t>
  </si>
  <si>
    <t>H.Lalengsanga huan</t>
  </si>
  <si>
    <t>J.C Lalrammawia huan</t>
  </si>
  <si>
    <t>R.Bawiha huan</t>
  </si>
  <si>
    <t>R.Thangliana huan</t>
  </si>
  <si>
    <t>Lalengmawii huan</t>
  </si>
  <si>
    <t>Rohnuna huan</t>
  </si>
  <si>
    <t>R.K Kunga huan</t>
  </si>
  <si>
    <t>F.Lalropuia huan</t>
  </si>
  <si>
    <t>David Zothansanga huan</t>
  </si>
  <si>
    <t>Pathiauva huan</t>
  </si>
  <si>
    <t>Laldingliana chawngthu huan</t>
  </si>
  <si>
    <t>K Lalthakima huan</t>
  </si>
  <si>
    <t>Malsawmi huan</t>
  </si>
  <si>
    <t>Laltlanchhungi huan</t>
  </si>
  <si>
    <t>K.Lalzarmawia huan</t>
  </si>
  <si>
    <t>Lalhmunsiama huan</t>
  </si>
  <si>
    <t>Ramdinmawia huan</t>
  </si>
  <si>
    <t>R.Hrangkhuma huan</t>
  </si>
  <si>
    <t>Lalramzuava huan</t>
  </si>
  <si>
    <t>Lalhmachhuana huan</t>
  </si>
  <si>
    <t>Vanlalthlanga huan</t>
  </si>
  <si>
    <t>Sangthuama huan</t>
  </si>
  <si>
    <t>C.Lalrinawmi huan</t>
  </si>
  <si>
    <t>Chawimawia huan</t>
  </si>
  <si>
    <t>Malsawmkimi huan</t>
  </si>
  <si>
    <t>Lalchhuanawmi huan</t>
  </si>
  <si>
    <t>Alan Zosangliana huan</t>
  </si>
  <si>
    <t>N.T Valtea</t>
  </si>
  <si>
    <t>C.Vanlalhriata huan</t>
  </si>
  <si>
    <t>H.Kaphranga huan</t>
  </si>
  <si>
    <t>Thanthuama huan</t>
  </si>
  <si>
    <t>K.Lalbeiseia huan</t>
  </si>
  <si>
    <t>Sanghmingthanga huan</t>
  </si>
  <si>
    <t>K.Vanlalhlua huan</t>
  </si>
  <si>
    <t>David Thangthuama huan</t>
  </si>
  <si>
    <t>C.Kapvela huan</t>
  </si>
  <si>
    <t>V.Zosangliana huan</t>
  </si>
  <si>
    <t>C.Vanlalruata huan</t>
  </si>
  <si>
    <t>C.Lalmuanpuii huan</t>
  </si>
  <si>
    <t>Lalrosiama huan</t>
  </si>
  <si>
    <t>Lalfamkimi huan</t>
  </si>
  <si>
    <t>C,Zonunsangi huan</t>
  </si>
  <si>
    <t>Lalthlamuani huan</t>
  </si>
  <si>
    <t>M.Lilyparmawii huan</t>
  </si>
  <si>
    <t>Laldingngheti huan</t>
  </si>
  <si>
    <t>Lalringliana huan</t>
  </si>
  <si>
    <t>Lalrinkmi huan</t>
  </si>
  <si>
    <t>Lalramzauva huan</t>
  </si>
  <si>
    <t>Lalhmingchhuangi huan</t>
  </si>
  <si>
    <t>H.P Lalfamkima huan</t>
  </si>
  <si>
    <t xml:space="preserve">Gabion structure </t>
  </si>
  <si>
    <t>Banglalui &amp; Jeep road zau</t>
  </si>
  <si>
    <t>PCC flooring</t>
  </si>
  <si>
    <t>2 nos at Venglai area</t>
  </si>
  <si>
    <t>College veng area</t>
  </si>
  <si>
    <t>Zoliana huan Bawktlang</t>
  </si>
  <si>
    <t>K.Pauva huan Chemtlang</t>
  </si>
  <si>
    <t>PL Thianga huan Tlangzang</t>
  </si>
  <si>
    <t>T.Lalrosiama huan Bawktlang</t>
  </si>
  <si>
    <t>Thangkhawkama huan Saibual</t>
  </si>
  <si>
    <t>PK Manga huan Bawktlang</t>
  </si>
  <si>
    <t>Lalkhawmawia huan Bawktlang</t>
  </si>
  <si>
    <t>Rengtekawn area</t>
  </si>
  <si>
    <t>Vengthar area</t>
  </si>
  <si>
    <t>Thlanmual veng</t>
  </si>
  <si>
    <t>Near AWC No.XX</t>
  </si>
  <si>
    <t>Construction of step</t>
  </si>
  <si>
    <t>Community hall kawng</t>
  </si>
  <si>
    <t>Irrigation cannal</t>
  </si>
  <si>
    <t>Ramdinmawia huan,Darrulchuk zau</t>
  </si>
  <si>
    <t>2205002023/WC/8464</t>
  </si>
  <si>
    <t>2205002023/WC/8465</t>
  </si>
  <si>
    <t>2205002023/WH/2591</t>
  </si>
  <si>
    <t>2205002023/IC/1832</t>
  </si>
  <si>
    <t>2205002023/DP/5513</t>
  </si>
  <si>
    <t>2205002023/DP/5514</t>
  </si>
  <si>
    <t>2205002023/LD/20454</t>
  </si>
  <si>
    <r>
      <t> </t>
    </r>
    <r>
      <rPr>
        <b/>
        <sz val="10"/>
        <color rgb="FF0000FF"/>
        <rFont val="Times New Roman"/>
        <family val="1"/>
      </rPr>
      <t>2205002023/LD/20455</t>
    </r>
  </si>
  <si>
    <t>2205002023/LD/20456</t>
  </si>
  <si>
    <t>2205002023/LD/20457</t>
  </si>
  <si>
    <t>2205002023/IF/23407</t>
  </si>
  <si>
    <t>2205002023/DP/5515</t>
  </si>
  <si>
    <t>2205002023/IF/23408</t>
  </si>
  <si>
    <r>
      <t> </t>
    </r>
    <r>
      <rPr>
        <b/>
        <sz val="10"/>
        <color rgb="FF0000FF"/>
        <rFont val="Times New Roman"/>
        <family val="1"/>
      </rPr>
      <t>2205002023/IF/23409</t>
    </r>
  </si>
  <si>
    <t>2205002023/FR/21246</t>
  </si>
  <si>
    <t>2205002023/FR/21247</t>
  </si>
  <si>
    <r>
      <t> </t>
    </r>
    <r>
      <rPr>
        <b/>
        <sz val="10"/>
        <color rgb="FF0000FF"/>
        <rFont val="Times New Roman"/>
        <family val="1"/>
      </rPr>
      <t>2205002023/RS/7462</t>
    </r>
  </si>
  <si>
    <r>
      <t> </t>
    </r>
    <r>
      <rPr>
        <b/>
        <sz val="10"/>
        <color rgb="FF0000FF"/>
        <rFont val="Times New Roman"/>
        <family val="1"/>
      </rPr>
      <t>2205002023/RS/7463</t>
    </r>
  </si>
  <si>
    <t>2205002023/RC/26245</t>
  </si>
  <si>
    <t>2205002023/RC/26246</t>
  </si>
  <si>
    <t>2205002023/LD/20458</t>
  </si>
  <si>
    <r>
      <t> </t>
    </r>
    <r>
      <rPr>
        <b/>
        <sz val="10"/>
        <color rgb="FF0000FF"/>
        <rFont val="Times New Roman"/>
        <family val="1"/>
      </rPr>
      <t>2205002023/LD/20459</t>
    </r>
  </si>
  <si>
    <t>2205002023/FP/22823</t>
  </si>
  <si>
    <t>2205002023/FP/22824</t>
  </si>
  <si>
    <t>2205002029/IF/23410</t>
  </si>
  <si>
    <t>2205002029/WC/8466</t>
  </si>
  <si>
    <t>2205002029/WH/2592</t>
  </si>
  <si>
    <t>2205002029/DP/5516</t>
  </si>
  <si>
    <t>2205002029/DP/5517</t>
  </si>
  <si>
    <t>2205002029/LD/20460</t>
  </si>
  <si>
    <r>
      <t> </t>
    </r>
    <r>
      <rPr>
        <b/>
        <sz val="10"/>
        <color rgb="FF0000FF"/>
        <rFont val="Times New Roman"/>
        <family val="1"/>
      </rPr>
      <t>2205002029/LD/20461</t>
    </r>
  </si>
  <si>
    <t>2205002029/IF/23411</t>
  </si>
  <si>
    <t>2205002029/IF/23412</t>
  </si>
  <si>
    <t>2205002023/FR/21248</t>
  </si>
  <si>
    <r>
      <t> </t>
    </r>
    <r>
      <rPr>
        <b/>
        <sz val="10"/>
        <color rgb="FF0000FF"/>
        <rFont val="Times New Roman"/>
        <family val="1"/>
      </rPr>
      <t>2205002029/RC/26247</t>
    </r>
  </si>
  <si>
    <r>
      <t> </t>
    </r>
    <r>
      <rPr>
        <b/>
        <sz val="10"/>
        <color rgb="FF0000FF"/>
        <rFont val="Verdana"/>
        <family val="2"/>
      </rPr>
      <t>2205002029/RS/7464</t>
    </r>
  </si>
  <si>
    <r>
      <t> </t>
    </r>
    <r>
      <rPr>
        <b/>
        <sz val="10"/>
        <color rgb="FF0000FF"/>
        <rFont val="Times New Roman"/>
        <family val="1"/>
      </rPr>
      <t>2205002029/RC/26248</t>
    </r>
  </si>
  <si>
    <t>2205002029/RC/26249</t>
  </si>
  <si>
    <r>
      <t> </t>
    </r>
    <r>
      <rPr>
        <b/>
        <sz val="10"/>
        <color rgb="FF0000FF"/>
        <rFont val="Times New Roman"/>
        <family val="1"/>
      </rPr>
      <t>2205002029/LD/20462</t>
    </r>
  </si>
  <si>
    <r>
      <t> </t>
    </r>
    <r>
      <rPr>
        <b/>
        <sz val="10"/>
        <color rgb="FF0000FF"/>
        <rFont val="Times New Roman"/>
        <family val="1"/>
      </rPr>
      <t>2205002029/LD/20463</t>
    </r>
  </si>
  <si>
    <t>2205002029/FP/22825</t>
  </si>
  <si>
    <t>2205002025/IF/23413</t>
  </si>
  <si>
    <t>2205002025/WC/8467</t>
  </si>
  <si>
    <t>2205002025/WH/2593</t>
  </si>
  <si>
    <t>2205002025/DP/5518</t>
  </si>
  <si>
    <t>2205002025/DP/5519</t>
  </si>
  <si>
    <t>2205002025/LD/20464</t>
  </si>
  <si>
    <t>2205002025/LD/20465</t>
  </si>
  <si>
    <r>
      <t> </t>
    </r>
    <r>
      <rPr>
        <b/>
        <sz val="10"/>
        <color rgb="FF0000FF"/>
        <rFont val="Times New Roman"/>
        <family val="1"/>
      </rPr>
      <t>2205002025/IF/23414</t>
    </r>
  </si>
  <si>
    <r>
      <t> </t>
    </r>
    <r>
      <rPr>
        <b/>
        <sz val="10"/>
        <color rgb="FF0000FF"/>
        <rFont val="Times New Roman"/>
        <family val="1"/>
      </rPr>
      <t>2205002025/IF/23415</t>
    </r>
  </si>
  <si>
    <t>2205002025/FR/21249</t>
  </si>
  <si>
    <t>2205002025/FR/21250</t>
  </si>
  <si>
    <t>2205002025/RS/7465</t>
  </si>
  <si>
    <t>2205002025/RS/7466</t>
  </si>
  <si>
    <r>
      <t> </t>
    </r>
    <r>
      <rPr>
        <b/>
        <sz val="10"/>
        <color rgb="FF0000FF"/>
        <rFont val="Times New Roman"/>
        <family val="1"/>
      </rPr>
      <t>2205002025/RC/26250</t>
    </r>
  </si>
  <si>
    <r>
      <t> </t>
    </r>
    <r>
      <rPr>
        <b/>
        <sz val="10"/>
        <color rgb="FF0000FF"/>
        <rFont val="Times New Roman"/>
        <family val="1"/>
      </rPr>
      <t>2205002025/RC/26251</t>
    </r>
  </si>
  <si>
    <r>
      <t> </t>
    </r>
    <r>
      <rPr>
        <b/>
        <sz val="10"/>
        <color rgb="FF0000FF"/>
        <rFont val="Times New Roman"/>
        <family val="1"/>
      </rPr>
      <t>2205002025/RC/26252</t>
    </r>
  </si>
  <si>
    <t>2205002025/FP/22826</t>
  </si>
  <si>
    <t>2205002025/FP/22827</t>
  </si>
  <si>
    <t>2205002022/IF/23416</t>
  </si>
  <si>
    <t>2205002022/WH/2594</t>
  </si>
  <si>
    <t>2205002022/DP/5520</t>
  </si>
  <si>
    <t>2205002022/DP/5521</t>
  </si>
  <si>
    <r>
      <t> </t>
    </r>
    <r>
      <rPr>
        <b/>
        <sz val="10"/>
        <color rgb="FF0000FF"/>
        <rFont val="Times New Roman"/>
        <family val="1"/>
      </rPr>
      <t>2205002022/LD/20466</t>
    </r>
  </si>
  <si>
    <r>
      <t> </t>
    </r>
    <r>
      <rPr>
        <b/>
        <sz val="10"/>
        <color rgb="FF0000FF"/>
        <rFont val="Times New Roman"/>
        <family val="1"/>
      </rPr>
      <t>2205002022/LD/20467</t>
    </r>
  </si>
  <si>
    <r>
      <t> </t>
    </r>
    <r>
      <rPr>
        <b/>
        <sz val="10"/>
        <color rgb="FF0000FF"/>
        <rFont val="Times New Roman"/>
        <family val="1"/>
      </rPr>
      <t>2205002022/LD/20468</t>
    </r>
  </si>
  <si>
    <t>2205002022/IF/23417</t>
  </si>
  <si>
    <t>2205002022/IF/23418</t>
  </si>
  <si>
    <t>2205002022/FR/21251</t>
  </si>
  <si>
    <t>2205002022/FR/21252</t>
  </si>
  <si>
    <t>2205002022/RS/7467</t>
  </si>
  <si>
    <t>2205002022/RC/26253</t>
  </si>
  <si>
    <t>2205002022/RC/26254</t>
  </si>
  <si>
    <r>
      <t> </t>
    </r>
    <r>
      <rPr>
        <b/>
        <sz val="10"/>
        <color rgb="FF0000FF"/>
        <rFont val="Times New Roman"/>
        <family val="1"/>
      </rPr>
      <t>2205002022/RC/26255</t>
    </r>
  </si>
  <si>
    <t>2205002022/LD/20469</t>
  </si>
  <si>
    <t>2205002022/LD/20470</t>
  </si>
  <si>
    <r>
      <t> </t>
    </r>
    <r>
      <rPr>
        <b/>
        <sz val="10"/>
        <color rgb="FF0000FF"/>
        <rFont val="Times New Roman"/>
        <family val="1"/>
      </rPr>
      <t>2205002022/FP/22828</t>
    </r>
  </si>
  <si>
    <r>
      <t> </t>
    </r>
    <r>
      <rPr>
        <b/>
        <sz val="10"/>
        <color rgb="FF0000FF"/>
        <rFont val="Times New Roman"/>
        <family val="1"/>
      </rPr>
      <t>2205002024/IF/23419</t>
    </r>
  </si>
  <si>
    <t>2205002024/WH/2595</t>
  </si>
  <si>
    <r>
      <t> </t>
    </r>
    <r>
      <rPr>
        <b/>
        <sz val="10"/>
        <color rgb="FF0000FF"/>
        <rFont val="Times New Roman"/>
        <family val="1"/>
      </rPr>
      <t>2205002024/DP/5522</t>
    </r>
  </si>
  <si>
    <t>2205002024/DP/5523</t>
  </si>
  <si>
    <t>2205002024/LD/20471</t>
  </si>
  <si>
    <t>2205002024/LD/20472</t>
  </si>
  <si>
    <t>2205002024/LD/20473</t>
  </si>
  <si>
    <t>2205002024/LD/20474</t>
  </si>
  <si>
    <t>2205002024/IF/23420</t>
  </si>
  <si>
    <t>2205002024/IF/23421</t>
  </si>
  <si>
    <t>2205002024/FR/21253</t>
  </si>
  <si>
    <t>2205002024/FR/21254</t>
  </si>
  <si>
    <r>
      <t> </t>
    </r>
    <r>
      <rPr>
        <b/>
        <sz val="10"/>
        <color rgb="FF0000FF"/>
        <rFont val="Times New Roman"/>
        <family val="1"/>
      </rPr>
      <t>2205002024/RC/26256</t>
    </r>
  </si>
  <si>
    <r>
      <t> </t>
    </r>
    <r>
      <rPr>
        <b/>
        <sz val="10"/>
        <color rgb="FF0000FF"/>
        <rFont val="Times New Roman"/>
        <family val="1"/>
      </rPr>
      <t>2205002024/RC/26257</t>
    </r>
  </si>
  <si>
    <r>
      <t> </t>
    </r>
    <r>
      <rPr>
        <b/>
        <sz val="10"/>
        <color rgb="FF0000FF"/>
        <rFont val="Times New Roman"/>
        <family val="1"/>
      </rPr>
      <t>2205002024/RC/26258</t>
    </r>
  </si>
  <si>
    <t>2205002024/RC/26259</t>
  </si>
  <si>
    <r>
      <t> </t>
    </r>
    <r>
      <rPr>
        <b/>
        <sz val="10"/>
        <color rgb="FF0000FF"/>
        <rFont val="Times New Roman"/>
        <family val="1"/>
      </rPr>
      <t>2205002024/FP/22829</t>
    </r>
  </si>
  <si>
    <r>
      <t> </t>
    </r>
    <r>
      <rPr>
        <b/>
        <sz val="10"/>
        <color rgb="FF0000FF"/>
        <rFont val="Times New Roman"/>
        <family val="1"/>
      </rPr>
      <t>2205002024/FP/22830</t>
    </r>
  </si>
  <si>
    <t>2205002021/IF/23422</t>
  </si>
  <si>
    <t>2205002021/WH/2596</t>
  </si>
  <si>
    <r>
      <t> </t>
    </r>
    <r>
      <rPr>
        <b/>
        <sz val="10"/>
        <color rgb="FF0000FF"/>
        <rFont val="Times New Roman"/>
        <family val="1"/>
      </rPr>
      <t>2205002021/DP/5524</t>
    </r>
  </si>
  <si>
    <r>
      <t> </t>
    </r>
    <r>
      <rPr>
        <b/>
        <sz val="10"/>
        <color rgb="FF0000FF"/>
        <rFont val="Times New Roman"/>
        <family val="1"/>
      </rPr>
      <t>2205002021/DP/5525</t>
    </r>
  </si>
  <si>
    <r>
      <t> </t>
    </r>
    <r>
      <rPr>
        <b/>
        <sz val="10"/>
        <color rgb="FF0000FF"/>
        <rFont val="Times New Roman"/>
        <family val="1"/>
      </rPr>
      <t>2205002021/DP/5526</t>
    </r>
  </si>
  <si>
    <t>2205002021/LD/20475</t>
  </si>
  <si>
    <t>2205002021/LD/20476</t>
  </si>
  <si>
    <t>2205002021/IF/23423</t>
  </si>
  <si>
    <t>2205002021/IF/23424</t>
  </si>
  <si>
    <t>2205002021/FR/21255</t>
  </si>
  <si>
    <r>
      <t> </t>
    </r>
    <r>
      <rPr>
        <b/>
        <sz val="10"/>
        <color rgb="FF0000FF"/>
        <rFont val="Times New Roman"/>
        <family val="1"/>
      </rPr>
      <t>2205002021/RS/7468</t>
    </r>
  </si>
  <si>
    <r>
      <t> </t>
    </r>
    <r>
      <rPr>
        <b/>
        <sz val="10"/>
        <color rgb="FF0000FF"/>
        <rFont val="Times New Roman"/>
        <family val="1"/>
      </rPr>
      <t>2205002021/LD/20477</t>
    </r>
  </si>
  <si>
    <t>2205002021/RC/26260</t>
  </si>
  <si>
    <t>2205002021/RC/26261</t>
  </si>
  <si>
    <r>
      <t> </t>
    </r>
    <r>
      <rPr>
        <b/>
        <sz val="10"/>
        <color rgb="FF0000FF"/>
        <rFont val="Times New Roman"/>
        <family val="1"/>
      </rPr>
      <t>2205002021/RC/26262</t>
    </r>
  </si>
  <si>
    <r>
      <t> </t>
    </r>
    <r>
      <rPr>
        <b/>
        <sz val="10"/>
        <color rgb="FF0000FF"/>
        <rFont val="Times New Roman"/>
        <family val="1"/>
      </rPr>
      <t>2205002021/AV/1420</t>
    </r>
  </si>
  <si>
    <t>2205002026/IF/23425</t>
  </si>
  <si>
    <t>2205002026/WC/8473</t>
  </si>
  <si>
    <t>2205002026/DP/5528</t>
  </si>
  <si>
    <t>2205002026/DP/5529</t>
  </si>
  <si>
    <r>
      <t> </t>
    </r>
    <r>
      <rPr>
        <b/>
        <sz val="10"/>
        <color rgb="FF0000FF"/>
        <rFont val="Times New Roman"/>
        <family val="1"/>
      </rPr>
      <t>2205002026/DP/5530</t>
    </r>
  </si>
  <si>
    <t>2205002026/LD/20479</t>
  </si>
  <si>
    <r>
      <t> </t>
    </r>
    <r>
      <rPr>
        <b/>
        <sz val="10"/>
        <color rgb="FF0000FF"/>
        <rFont val="Times New Roman"/>
        <family val="1"/>
      </rPr>
      <t>2205002026/LD/20480</t>
    </r>
  </si>
  <si>
    <t>1nos at Saidan/Tuithaveng</t>
  </si>
  <si>
    <t>6 nos at Saidan/Tuithaveng</t>
  </si>
  <si>
    <t>2205002026/IF/23426</t>
  </si>
  <si>
    <t>2205002026/IF/23427</t>
  </si>
  <si>
    <t>2205002026/FR/21257</t>
  </si>
  <si>
    <t>2205002026/RS/7470</t>
  </si>
  <si>
    <t>2205002026/RC/26264</t>
  </si>
  <si>
    <r>
      <t> </t>
    </r>
    <r>
      <rPr>
        <b/>
        <sz val="10"/>
        <color rgb="FFFF0000"/>
        <rFont val="Times New Roman"/>
        <family val="1"/>
      </rPr>
      <t>2205002026/RC/26265</t>
    </r>
  </si>
  <si>
    <t>2205002026/FP/22831</t>
  </si>
  <si>
    <r>
      <t> </t>
    </r>
    <r>
      <rPr>
        <b/>
        <sz val="10"/>
        <color rgb="FF0000FF"/>
        <rFont val="Times New Roman"/>
        <family val="1"/>
      </rPr>
      <t>2205002026/FP/22832</t>
    </r>
  </si>
  <si>
    <r>
      <t> </t>
    </r>
    <r>
      <rPr>
        <b/>
        <sz val="10"/>
        <color rgb="FF0000FF"/>
        <rFont val="Times New Roman"/>
        <family val="1"/>
      </rPr>
      <t>2205002032/IF/23432</t>
    </r>
  </si>
  <si>
    <r>
      <t> </t>
    </r>
    <r>
      <rPr>
        <b/>
        <sz val="10"/>
        <color rgb="FF0000FF"/>
        <rFont val="Times New Roman"/>
        <family val="1"/>
      </rPr>
      <t>2205002032/WC/8484</t>
    </r>
  </si>
  <si>
    <t>2205002032/DP/5535</t>
  </si>
  <si>
    <t>2205002032/DP/5536</t>
  </si>
  <si>
    <r>
      <t> </t>
    </r>
    <r>
      <rPr>
        <b/>
        <sz val="10"/>
        <color rgb="FF0000FF"/>
        <rFont val="Times New Roman"/>
        <family val="1"/>
      </rPr>
      <t>2205002032/LD/20499</t>
    </r>
  </si>
  <si>
    <t>2205002032/LD/20500</t>
  </si>
  <si>
    <t>2205002032/IF/23433</t>
  </si>
  <si>
    <t>2205002032/IF/23434</t>
  </si>
  <si>
    <t>2205002032/FR/21269</t>
  </si>
  <si>
    <t>2205002032/RS/7476</t>
  </si>
  <si>
    <t>2205002032/RS/7477</t>
  </si>
  <si>
    <t>2205002032/RC/26271</t>
  </si>
  <si>
    <t>2205002032/LD/20501</t>
  </si>
  <si>
    <t>2205002032/FP/22833</t>
  </si>
  <si>
    <r>
      <t> </t>
    </r>
    <r>
      <rPr>
        <b/>
        <sz val="10"/>
        <color rgb="FF0000FF"/>
        <rFont val="Times New Roman"/>
        <family val="1"/>
      </rPr>
      <t>2205002032/FP/22834</t>
    </r>
  </si>
  <si>
    <t>2205002030/IF/23435</t>
  </si>
  <si>
    <t>2205002030/WC/8485</t>
  </si>
  <si>
    <t>2205002030/WC/8486</t>
  </si>
  <si>
    <r>
      <t> </t>
    </r>
    <r>
      <rPr>
        <b/>
        <sz val="10"/>
        <color rgb="FF0000FF"/>
        <rFont val="Times New Roman"/>
        <family val="1"/>
      </rPr>
      <t>2205002030/WH/2604</t>
    </r>
  </si>
  <si>
    <t>2205002030/DP/5537</t>
  </si>
  <si>
    <t>2205002030/DP/5538</t>
  </si>
  <si>
    <t>2205002030/LD/20502</t>
  </si>
  <si>
    <t>2205002030/IF/23436</t>
  </si>
  <si>
    <r>
      <t> </t>
    </r>
    <r>
      <rPr>
        <b/>
        <sz val="10"/>
        <color rgb="FF0000FF"/>
        <rFont val="Times New Roman"/>
        <family val="1"/>
      </rPr>
      <t>2205002030/IF/23437</t>
    </r>
  </si>
  <si>
    <r>
      <t> </t>
    </r>
    <r>
      <rPr>
        <b/>
        <sz val="10"/>
        <color rgb="FF0000FF"/>
        <rFont val="Times New Roman"/>
        <family val="1"/>
      </rPr>
      <t>2205002030/IF/23438</t>
    </r>
  </si>
  <si>
    <t>2205002030/FR/21270</t>
  </si>
  <si>
    <r>
      <t> </t>
    </r>
    <r>
      <rPr>
        <b/>
        <sz val="10"/>
        <color rgb="FF0000FF"/>
        <rFont val="Times New Roman"/>
        <family val="1"/>
      </rPr>
      <t>2205002030/RS/7479</t>
    </r>
  </si>
  <si>
    <t>2205002030/RC/26273</t>
  </si>
  <si>
    <t>2205002030/LD/20503</t>
  </si>
  <si>
    <t>2205002030/FP/22835</t>
  </si>
  <si>
    <r>
      <t> </t>
    </r>
    <r>
      <rPr>
        <b/>
        <sz val="10"/>
        <color rgb="FF0000FF"/>
        <rFont val="Times New Roman"/>
        <family val="1"/>
      </rPr>
      <t>2205002030/FP/22836</t>
    </r>
  </si>
  <si>
    <t>2205002030/FP/22837</t>
  </si>
  <si>
    <r>
      <t> </t>
    </r>
    <r>
      <rPr>
        <b/>
        <sz val="10"/>
        <color rgb="FF0000FF"/>
        <rFont val="Times New Roman"/>
        <family val="1"/>
      </rPr>
      <t>2205002028/IF/23459</t>
    </r>
  </si>
  <si>
    <t>2205002028/WC/8488</t>
  </si>
  <si>
    <t>2205002028/WH/2605</t>
  </si>
  <si>
    <r>
      <t> </t>
    </r>
    <r>
      <rPr>
        <b/>
        <sz val="10"/>
        <color rgb="FF0000FF"/>
        <rFont val="Times New Roman"/>
        <family val="1"/>
      </rPr>
      <t>2205002028/DP/5540</t>
    </r>
  </si>
  <si>
    <t>2205002028/DP/5541</t>
  </si>
  <si>
    <t>2205002028/LD/20512</t>
  </si>
  <si>
    <r>
      <t> </t>
    </r>
    <r>
      <rPr>
        <b/>
        <sz val="10"/>
        <color rgb="FF0000FF"/>
        <rFont val="Times New Roman"/>
        <family val="1"/>
      </rPr>
      <t>2205002028/LD/20513</t>
    </r>
  </si>
  <si>
    <t>2205002028/IF/23460</t>
  </si>
  <si>
    <t>2205002028/IF/23461</t>
  </si>
  <si>
    <t>2205002028/FR/21279</t>
  </si>
  <si>
    <t>2205002028/RS/7481</t>
  </si>
  <si>
    <t>2205002028/RC/26276</t>
  </si>
  <si>
    <t>2205002028/RC/26277</t>
  </si>
  <si>
    <t>2205002028/LD/20514</t>
  </si>
  <si>
    <t>2205002028/FP/22838</t>
  </si>
  <si>
    <t>2205002028/FP/22839</t>
  </si>
  <si>
    <t>2205002028/FP/22840</t>
  </si>
  <si>
    <t>2205002027/IF/23462</t>
  </si>
  <si>
    <t>2205002027/WC/8490</t>
  </si>
  <si>
    <r>
      <t> </t>
    </r>
    <r>
      <rPr>
        <b/>
        <sz val="10"/>
        <color rgb="FF0000FF"/>
        <rFont val="Times New Roman"/>
        <family val="1"/>
      </rPr>
      <t>2205002027/WH/2606</t>
    </r>
  </si>
  <si>
    <t>2205002027/DP/5542</t>
  </si>
  <si>
    <t>2205002027/DP/5543</t>
  </si>
  <si>
    <t>2205002027/LD/20515</t>
  </si>
  <si>
    <r>
      <t> </t>
    </r>
    <r>
      <rPr>
        <b/>
        <sz val="10"/>
        <color rgb="FF0000FF"/>
        <rFont val="Times New Roman"/>
        <family val="1"/>
      </rPr>
      <t>2205002027/LD/20516</t>
    </r>
  </si>
  <si>
    <t>2205002027/IF/23463</t>
  </si>
  <si>
    <t>2205002027/IF/23464</t>
  </si>
  <si>
    <r>
      <t> </t>
    </r>
    <r>
      <rPr>
        <b/>
        <sz val="10"/>
        <color rgb="FF0000FF"/>
        <rFont val="Times New Roman"/>
        <family val="1"/>
      </rPr>
      <t>2205002027/FR/21284</t>
    </r>
  </si>
  <si>
    <t>2205002027/RS/7482</t>
  </si>
  <si>
    <r>
      <t> </t>
    </r>
    <r>
      <rPr>
        <b/>
        <sz val="10"/>
        <color rgb="FF0000FF"/>
        <rFont val="Times New Roman"/>
        <family val="1"/>
      </rPr>
      <t>2205002027/RS/7483</t>
    </r>
  </si>
  <si>
    <t>2205002027/RC/26279</t>
  </si>
  <si>
    <t>2205002027/RC/26280</t>
  </si>
  <si>
    <r>
      <t>  </t>
    </r>
    <r>
      <rPr>
        <b/>
        <sz val="10"/>
        <color rgb="FF0000FF"/>
        <rFont val="Times New Roman"/>
        <family val="1"/>
      </rPr>
      <t>2205002027/RC/26281</t>
    </r>
  </si>
  <si>
    <t>2205002027/FP/22841</t>
  </si>
  <si>
    <r>
      <t> </t>
    </r>
    <r>
      <rPr>
        <b/>
        <sz val="10"/>
        <color rgb="FF0000FF"/>
        <rFont val="Times New Roman"/>
        <family val="1"/>
      </rPr>
      <t>2205002027/FP/22842</t>
    </r>
  </si>
  <si>
    <r>
      <t> </t>
    </r>
    <r>
      <rPr>
        <b/>
        <sz val="10"/>
        <color rgb="FF0000FF"/>
        <rFont val="Times New Roman"/>
        <family val="1"/>
      </rPr>
      <t>2205002027/FP/22843</t>
    </r>
  </si>
  <si>
    <r>
      <t> </t>
    </r>
    <r>
      <rPr>
        <b/>
        <sz val="10"/>
        <color rgb="FF0000FF"/>
        <rFont val="Times New Roman"/>
        <family val="1"/>
      </rPr>
      <t>2205002027/FP/22844</t>
    </r>
  </si>
  <si>
    <t>N.Thinglian</t>
  </si>
  <si>
    <t>Rural conectivity</t>
  </si>
  <si>
    <t>Kawng laih</t>
  </si>
  <si>
    <r>
      <t> </t>
    </r>
    <r>
      <rPr>
        <b/>
        <sz val="10"/>
        <color rgb="FF0000FF"/>
        <rFont val="Times New Roman"/>
        <family val="1"/>
      </rPr>
      <t>2205002006/IF/23467</t>
    </r>
  </si>
  <si>
    <t>2205002006/WC/8499</t>
  </si>
  <si>
    <t>2205002006/WH/2608</t>
  </si>
  <si>
    <r>
      <t> </t>
    </r>
    <r>
      <rPr>
        <b/>
        <sz val="10"/>
        <color rgb="FF0000FF"/>
        <rFont val="Times New Roman"/>
        <family val="1"/>
      </rPr>
      <t>2205002006/DP/5547</t>
    </r>
  </si>
  <si>
    <t>2205002006/DP/5548</t>
  </si>
  <si>
    <t>2205002006/LD/20532</t>
  </si>
  <si>
    <t>2205002006/FR/21293</t>
  </si>
  <si>
    <t>2205002006/RC/26285</t>
  </si>
  <si>
    <t>2205002006/RC/26286</t>
  </si>
  <si>
    <t>2205002006/AV/1427</t>
  </si>
  <si>
    <r>
      <t> </t>
    </r>
    <r>
      <rPr>
        <b/>
        <sz val="10"/>
        <color rgb="FF0000FF"/>
        <rFont val="Times New Roman"/>
        <family val="1"/>
      </rPr>
      <t>2205002006/FP/22846</t>
    </r>
  </si>
  <si>
    <r>
      <t> </t>
    </r>
    <r>
      <rPr>
        <b/>
        <sz val="10"/>
        <color rgb="FF0000FF"/>
        <rFont val="Times New Roman"/>
        <family val="1"/>
      </rPr>
      <t>2205002006/FP/22847</t>
    </r>
  </si>
  <si>
    <r>
      <t> </t>
    </r>
    <r>
      <rPr>
        <b/>
        <sz val="10"/>
        <color rgb="FF0000FF"/>
        <rFont val="Times New Roman"/>
        <family val="1"/>
      </rPr>
      <t>2205002006/FP/22848</t>
    </r>
  </si>
  <si>
    <t>2nos atNew Diakkawn</t>
  </si>
  <si>
    <t>6nos atNew Diakkawn</t>
  </si>
  <si>
    <t>2nos at Tumpui</t>
  </si>
  <si>
    <t>7nos at Tumpui</t>
  </si>
  <si>
    <t>REngtekawn area</t>
  </si>
  <si>
    <t>2 nos at Diakkawn</t>
  </si>
  <si>
    <t>10 nos at Diakkawn</t>
  </si>
  <si>
    <t>2 nos at Hmarveng</t>
  </si>
  <si>
    <t>10 nos at Hmarveng</t>
  </si>
  <si>
    <t xml:space="preserve">Amount    </t>
  </si>
  <si>
    <t xml:space="preserve">Amount       </t>
  </si>
  <si>
    <t xml:space="preserve">Amount         </t>
  </si>
  <si>
    <t xml:space="preserve">Amount          </t>
  </si>
  <si>
    <t xml:space="preserve">Amount           </t>
  </si>
  <si>
    <t xml:space="preserve">Amount        </t>
  </si>
  <si>
    <t>sqm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</si>
</sst>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1"/>
      <color rgb="FFFFFFFF"/>
      <name val="Times New Roman"/>
      <family val="1"/>
    </font>
    <font>
      <sz val="11"/>
      <color rgb="FF333333"/>
      <name val="Times New Roman"/>
      <family val="1"/>
    </font>
    <font>
      <b/>
      <sz val="10"/>
      <color rgb="FF0000FF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FF"/>
      <name val="Verdana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AF0"/>
        <bgColor indexed="64"/>
      </patternFill>
    </fill>
    <fill>
      <patternFill patternType="solid">
        <fgColor rgb="FF507CD1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/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right"/>
    </xf>
    <xf numFmtId="0" fontId="2" fillId="0" borderId="0" xfId="0" applyNumberFormat="1" applyFont="1" applyAlignment="1">
      <alignment horizontal="left"/>
    </xf>
    <xf numFmtId="0" fontId="1" fillId="2" borderId="0" xfId="2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1" fillId="2" borderId="0" xfId="2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 applyAlignment="1">
      <alignment horizontal="center" vertical="center"/>
    </xf>
    <xf numFmtId="0" fontId="2" fillId="2" borderId="0" xfId="2" applyFont="1" applyFill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2" fillId="2" borderId="0" xfId="2" applyFont="1" applyFill="1" applyAlignmen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9" xfId="0" applyFont="1" applyBorder="1" applyAlignment="1">
      <alignment horizontal="center"/>
    </xf>
    <xf numFmtId="43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2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7" xfId="0" applyFont="1" applyFill="1" applyBorder="1" applyAlignment="1">
      <alignment wrapText="1"/>
    </xf>
    <xf numFmtId="0" fontId="2" fillId="0" borderId="9" xfId="0" applyFont="1" applyBorder="1" applyAlignment="1"/>
    <xf numFmtId="0" fontId="0" fillId="0" borderId="1" xfId="0" applyFill="1" applyBorder="1"/>
    <xf numFmtId="0" fontId="11" fillId="4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wrapText="1"/>
    </xf>
    <xf numFmtId="0" fontId="12" fillId="6" borderId="0" xfId="0" applyFont="1" applyFill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2" fillId="2" borderId="0" xfId="3" applyFont="1" applyFill="1" applyAlignment="1">
      <alignment horizontal="center"/>
    </xf>
    <xf numFmtId="43" fontId="2" fillId="2" borderId="0" xfId="2" applyNumberFormat="1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3" fontId="0" fillId="0" borderId="0" xfId="0" applyNumberFormat="1"/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3" fontId="2" fillId="2" borderId="0" xfId="3" applyFont="1" applyFill="1" applyAlignment="1">
      <alignment horizontal="center"/>
    </xf>
    <xf numFmtId="43" fontId="2" fillId="2" borderId="0" xfId="2" applyNumberFormat="1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3" fontId="2" fillId="2" borderId="0" xfId="2" applyNumberFormat="1" applyFont="1" applyFill="1" applyBorder="1" applyAlignment="1">
      <alignment horizontal="center"/>
    </xf>
    <xf numFmtId="43" fontId="0" fillId="0" borderId="0" xfId="5" applyFont="1"/>
    <xf numFmtId="0" fontId="2" fillId="0" borderId="8" xfId="0" applyFont="1" applyBorder="1" applyAlignment="1"/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43" fontId="2" fillId="2" borderId="0" xfId="3" applyFont="1" applyFill="1" applyAlignment="1">
      <alignment horizontal="center"/>
    </xf>
    <xf numFmtId="43" fontId="2" fillId="2" borderId="0" xfId="2" applyNumberFormat="1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6" xfId="0" applyBorder="1"/>
    <xf numFmtId="0" fontId="0" fillId="0" borderId="0" xfId="0" applyAlignment="1"/>
    <xf numFmtId="0" fontId="0" fillId="0" borderId="1" xfId="0" applyFont="1" applyFill="1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vertical="center"/>
    </xf>
    <xf numFmtId="0" fontId="2" fillId="0" borderId="1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/>
    <xf numFmtId="0" fontId="14" fillId="0" borderId="6" xfId="0" applyFont="1" applyBorder="1"/>
    <xf numFmtId="0" fontId="14" fillId="0" borderId="0" xfId="0" applyFont="1"/>
    <xf numFmtId="0" fontId="13" fillId="0" borderId="1" xfId="0" applyFont="1" applyBorder="1"/>
    <xf numFmtId="0" fontId="15" fillId="0" borderId="1" xfId="0" applyFont="1" applyBorder="1"/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3" fontId="2" fillId="2" borderId="0" xfId="3" applyFont="1" applyFill="1" applyAlignment="1">
      <alignment horizontal="center"/>
    </xf>
    <xf numFmtId="43" fontId="2" fillId="2" borderId="0" xfId="2" applyNumberFormat="1" applyFont="1" applyFill="1" applyAlignment="1">
      <alignment horizontal="center"/>
    </xf>
    <xf numFmtId="43" fontId="2" fillId="2" borderId="13" xfId="2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11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/>
    <xf numFmtId="0" fontId="2" fillId="0" borderId="6" xfId="0" applyFont="1" applyFill="1" applyBorder="1" applyAlignment="1"/>
    <xf numFmtId="0" fontId="0" fillId="0" borderId="8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6" xfId="0" applyFill="1" applyBorder="1"/>
    <xf numFmtId="0" fontId="13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8" fillId="0" borderId="0" xfId="0" applyFont="1" applyFill="1"/>
    <xf numFmtId="0" fontId="0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3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/>
    <xf numFmtId="0" fontId="7" fillId="0" borderId="8" xfId="0" applyFont="1" applyFill="1" applyBorder="1" applyAlignment="1">
      <alignment horizontal="center" vertical="center"/>
    </xf>
    <xf numFmtId="0" fontId="15" fillId="0" borderId="1" xfId="0" applyFont="1" applyFill="1" applyBorder="1"/>
    <xf numFmtId="0" fontId="0" fillId="0" borderId="12" xfId="0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/>
    <xf numFmtId="43" fontId="0" fillId="0" borderId="0" xfId="5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43" fontId="0" fillId="0" borderId="0" xfId="5" applyFont="1" applyFill="1"/>
    <xf numFmtId="0" fontId="0" fillId="0" borderId="2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1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43" fontId="0" fillId="0" borderId="0" xfId="0" applyNumberFormat="1" applyFill="1"/>
    <xf numFmtId="0" fontId="0" fillId="0" borderId="2" xfId="0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left" indent="1"/>
    </xf>
    <xf numFmtId="0" fontId="0" fillId="0" borderId="8" xfId="0" applyFill="1" applyBorder="1" applyAlignment="1">
      <alignment horizontal="left" vertical="center" wrapText="1"/>
    </xf>
    <xf numFmtId="0" fontId="17" fillId="0" borderId="1" xfId="0" applyFont="1" applyFill="1" applyBorder="1"/>
    <xf numFmtId="43" fontId="0" fillId="0" borderId="0" xfId="5" applyFont="1" applyFill="1" applyBorder="1" applyAlignment="1">
      <alignment vertical="center"/>
    </xf>
    <xf numFmtId="0" fontId="7" fillId="0" borderId="0" xfId="0" applyFont="1" applyFill="1" applyAlignment="1">
      <alignment horizontal="left" indent="2"/>
    </xf>
    <xf numFmtId="0" fontId="7" fillId="0" borderId="12" xfId="0" applyFont="1" applyFill="1" applyBorder="1" applyAlignment="1">
      <alignment wrapText="1"/>
    </xf>
    <xf numFmtId="0" fontId="0" fillId="0" borderId="4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9" xfId="0" applyFont="1" applyFill="1" applyBorder="1" applyAlignment="1">
      <alignment vertical="center"/>
    </xf>
    <xf numFmtId="43" fontId="0" fillId="0" borderId="0" xfId="5" applyFont="1" applyFill="1" applyBorder="1" applyAlignment="1">
      <alignment horizontal="left" vertical="center"/>
    </xf>
    <xf numFmtId="43" fontId="0" fillId="0" borderId="1" xfId="0" applyNumberFormat="1" applyFill="1" applyBorder="1" applyAlignment="1">
      <alignment horizontal="left" vertical="center"/>
    </xf>
    <xf numFmtId="43" fontId="4" fillId="0" borderId="1" xfId="0" applyNumberFormat="1" applyFont="1" applyFill="1" applyBorder="1" applyAlignment="1">
      <alignment horizontal="left" vertical="center"/>
    </xf>
  </cellXfs>
  <cellStyles count="6">
    <cellStyle name="Comma" xfId="5" builtinId="3"/>
    <cellStyle name="Comma 2" xfId="4"/>
    <cellStyle name="Comma 2 2" xf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26"/>
  <sheetViews>
    <sheetView topLeftCell="A98" workbookViewId="0">
      <selection activeCell="D117" sqref="D117"/>
    </sheetView>
  </sheetViews>
  <sheetFormatPr defaultRowHeight="15"/>
  <cols>
    <col min="1" max="1" width="18" customWidth="1"/>
    <col min="3" max="3" width="18" bestFit="1" customWidth="1"/>
    <col min="4" max="4" width="34.85546875" customWidth="1"/>
    <col min="5" max="5" width="8.42578125" customWidth="1"/>
    <col min="6" max="6" width="5.140625" customWidth="1"/>
    <col min="7" max="7" width="5.85546875" customWidth="1"/>
    <col min="8" max="8" width="6.42578125" style="1" customWidth="1"/>
    <col min="9" max="9" width="5.85546875" style="1" customWidth="1"/>
    <col min="10" max="10" width="14.28515625" bestFit="1" customWidth="1"/>
    <col min="11" max="11" width="28" bestFit="1" customWidth="1"/>
    <col min="12" max="12" width="15" bestFit="1" customWidth="1"/>
  </cols>
  <sheetData>
    <row r="1" spans="1:11">
      <c r="A1" s="10" t="s">
        <v>50</v>
      </c>
      <c r="B1" s="6"/>
      <c r="C1" s="15"/>
      <c r="D1" s="15" t="s">
        <v>94</v>
      </c>
      <c r="E1" s="15"/>
      <c r="F1" s="15"/>
      <c r="G1" s="15"/>
      <c r="H1" s="15"/>
      <c r="I1" s="15"/>
      <c r="J1" s="15"/>
    </row>
    <row r="2" spans="1:11">
      <c r="A2" s="2"/>
      <c r="B2" s="6"/>
      <c r="C2" s="3"/>
      <c r="D2" s="3" t="s">
        <v>0</v>
      </c>
      <c r="E2" s="138">
        <f>B3*194*100</f>
        <v>23920200</v>
      </c>
      <c r="F2" s="138"/>
      <c r="G2" s="138"/>
      <c r="H2" s="43"/>
      <c r="I2" s="43"/>
      <c r="J2" s="9"/>
    </row>
    <row r="3" spans="1:11">
      <c r="A3" s="10" t="s">
        <v>1</v>
      </c>
      <c r="B3" s="6">
        <v>1233</v>
      </c>
      <c r="C3" s="3"/>
      <c r="D3" s="3" t="s">
        <v>2</v>
      </c>
      <c r="E3" s="139">
        <f>E2*1/9</f>
        <v>2657800</v>
      </c>
      <c r="F3" s="139"/>
      <c r="G3" s="139"/>
      <c r="H3" s="44"/>
      <c r="I3" s="44"/>
      <c r="J3" s="21"/>
    </row>
    <row r="4" spans="1:11">
      <c r="A4" s="7"/>
      <c r="B4" s="5"/>
      <c r="C4" s="3"/>
      <c r="D4" s="3" t="s">
        <v>3</v>
      </c>
      <c r="E4" s="139">
        <f>SUM(E2:E3)</f>
        <v>26578000</v>
      </c>
      <c r="F4" s="139"/>
      <c r="G4" s="139"/>
      <c r="H4" s="44"/>
      <c r="I4" s="44"/>
      <c r="J4" s="9"/>
    </row>
    <row r="5" spans="1:11">
      <c r="A5" s="7"/>
      <c r="B5" s="5"/>
      <c r="C5" s="3"/>
      <c r="D5" s="3" t="s">
        <v>4</v>
      </c>
      <c r="E5" s="139">
        <f>E4*0.06</f>
        <v>1594680</v>
      </c>
      <c r="F5" s="139"/>
      <c r="G5" s="139"/>
      <c r="H5" s="44"/>
      <c r="I5" s="44"/>
      <c r="J5" s="9"/>
    </row>
    <row r="6" spans="1:11">
      <c r="A6" s="7"/>
      <c r="B6" s="5"/>
      <c r="C6" s="3"/>
      <c r="D6" s="3" t="s">
        <v>5</v>
      </c>
      <c r="E6" s="140">
        <f>SUM(E4:E5)</f>
        <v>28172680</v>
      </c>
      <c r="F6" s="140"/>
      <c r="G6" s="140"/>
      <c r="H6" s="57"/>
      <c r="I6" s="57"/>
      <c r="J6" s="9"/>
    </row>
    <row r="7" spans="1:11" ht="15" customHeight="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573</v>
      </c>
      <c r="K7" s="144" t="s">
        <v>119</v>
      </c>
    </row>
    <row r="8" spans="1:11" ht="15" customHeight="1">
      <c r="A8" s="117"/>
      <c r="B8" s="118"/>
      <c r="C8" s="120"/>
      <c r="D8" s="122"/>
      <c r="E8" s="129"/>
      <c r="F8" s="130"/>
      <c r="G8" s="130"/>
      <c r="H8" s="130"/>
      <c r="I8" s="131"/>
      <c r="J8" s="111"/>
      <c r="K8" s="144"/>
    </row>
    <row r="9" spans="1:11" ht="15" customHeight="1">
      <c r="A9" s="49" t="s">
        <v>11</v>
      </c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51"/>
    </row>
    <row r="10" spans="1:11" ht="15" customHeight="1">
      <c r="A10" s="116" t="s">
        <v>12</v>
      </c>
      <c r="B10" s="20"/>
      <c r="C10" s="42"/>
      <c r="D10" s="12"/>
      <c r="J10" s="18"/>
      <c r="K10" s="16"/>
    </row>
    <row r="11" spans="1:11" ht="15" customHeight="1">
      <c r="A11" s="116"/>
      <c r="B11" s="41">
        <v>1008</v>
      </c>
      <c r="C11" s="42" t="s">
        <v>95</v>
      </c>
      <c r="D11" s="12" t="s">
        <v>43</v>
      </c>
      <c r="E11" s="17">
        <f>1/(F11*G11)*B11</f>
        <v>168</v>
      </c>
      <c r="F11" s="41">
        <v>3</v>
      </c>
      <c r="G11" s="41">
        <v>2</v>
      </c>
      <c r="H11" s="70">
        <f t="shared" ref="H11:H52" si="0">G11*F11*E11</f>
        <v>1008</v>
      </c>
      <c r="I11" s="18" t="s">
        <v>127</v>
      </c>
      <c r="J11" s="18">
        <f>B11*194/100000</f>
        <v>1.9555199999999999</v>
      </c>
      <c r="K11" s="85" t="s">
        <v>350</v>
      </c>
    </row>
    <row r="12" spans="1:11" s="1" customFormat="1" ht="15" customHeight="1">
      <c r="A12" s="77" t="s">
        <v>151</v>
      </c>
      <c r="B12" s="18">
        <v>100</v>
      </c>
      <c r="C12" s="30" t="s">
        <v>152</v>
      </c>
      <c r="D12" s="30" t="s">
        <v>42</v>
      </c>
      <c r="E12" s="17">
        <v>3</v>
      </c>
      <c r="F12" s="70">
        <v>3</v>
      </c>
      <c r="G12" s="17">
        <v>2</v>
      </c>
      <c r="H12" s="70">
        <f t="shared" si="0"/>
        <v>18</v>
      </c>
      <c r="I12" s="18" t="s">
        <v>127</v>
      </c>
      <c r="J12" s="18">
        <f>100000/100000</f>
        <v>1</v>
      </c>
      <c r="K12" s="85" t="s">
        <v>351</v>
      </c>
    </row>
    <row r="13" spans="1:11" ht="15" customHeight="1">
      <c r="A13" s="29" t="s">
        <v>13</v>
      </c>
      <c r="B13" s="18">
        <f>20/1000</f>
        <v>0.02</v>
      </c>
      <c r="C13" s="11" t="s">
        <v>14</v>
      </c>
      <c r="D13" s="16" t="s">
        <v>97</v>
      </c>
      <c r="E13" s="17">
        <v>3</v>
      </c>
      <c r="F13" s="41">
        <v>3</v>
      </c>
      <c r="G13" s="17">
        <v>2</v>
      </c>
      <c r="H13" s="70">
        <f t="shared" si="0"/>
        <v>18</v>
      </c>
      <c r="I13" s="18" t="s">
        <v>127</v>
      </c>
      <c r="J13" s="18">
        <f>111640/100000</f>
        <v>1.1164000000000001</v>
      </c>
      <c r="K13" s="85" t="s">
        <v>352</v>
      </c>
    </row>
    <row r="14" spans="1:11" s="1" customFormat="1" ht="15" customHeight="1">
      <c r="A14" s="72" t="s">
        <v>348</v>
      </c>
      <c r="B14" s="80">
        <v>200</v>
      </c>
      <c r="C14" s="12" t="s">
        <v>348</v>
      </c>
      <c r="D14" s="16" t="s">
        <v>349</v>
      </c>
      <c r="E14" s="17">
        <f t="shared" ref="E14" si="1">1/(F14*G14)*B14</f>
        <v>200</v>
      </c>
      <c r="F14" s="70">
        <v>1</v>
      </c>
      <c r="G14" s="17">
        <v>1</v>
      </c>
      <c r="H14" s="70">
        <f t="shared" ref="H14" si="2">G14*F14*E14</f>
        <v>200</v>
      </c>
      <c r="I14" s="80" t="s">
        <v>127</v>
      </c>
      <c r="J14" s="80">
        <f>B14*194/100000</f>
        <v>0.38800000000000001</v>
      </c>
      <c r="K14" s="85" t="s">
        <v>353</v>
      </c>
    </row>
    <row r="15" spans="1:11" ht="15" customHeight="1">
      <c r="A15" s="116" t="s">
        <v>15</v>
      </c>
      <c r="B15" s="18">
        <v>1000</v>
      </c>
      <c r="C15" s="11" t="s">
        <v>16</v>
      </c>
      <c r="D15" s="16" t="s">
        <v>41</v>
      </c>
      <c r="E15" s="17">
        <f t="shared" ref="E15" si="3">1/(F15*G15)*B15</f>
        <v>11111.111111111111</v>
      </c>
      <c r="F15" s="41">
        <v>0.3</v>
      </c>
      <c r="G15" s="17">
        <v>0.3</v>
      </c>
      <c r="H15" s="70">
        <f t="shared" si="0"/>
        <v>1000</v>
      </c>
      <c r="I15" s="18" t="s">
        <v>127</v>
      </c>
      <c r="J15" s="81">
        <f>B15*194/100000</f>
        <v>1.94</v>
      </c>
      <c r="K15" s="85" t="s">
        <v>354</v>
      </c>
    </row>
    <row r="16" spans="1:11" ht="15" customHeight="1">
      <c r="A16" s="116"/>
      <c r="B16" s="18">
        <v>1800</v>
      </c>
      <c r="C16" s="11" t="s">
        <v>18</v>
      </c>
      <c r="D16" s="16" t="s">
        <v>42</v>
      </c>
      <c r="E16" s="17">
        <f>1/(F16*G16)*B16</f>
        <v>1800</v>
      </c>
      <c r="F16" s="41">
        <v>1</v>
      </c>
      <c r="G16" s="17">
        <v>1</v>
      </c>
      <c r="H16" s="70">
        <f t="shared" si="0"/>
        <v>1800</v>
      </c>
      <c r="I16" s="18" t="s">
        <v>127</v>
      </c>
      <c r="J16" s="81">
        <f>B16*194/100000</f>
        <v>3.492</v>
      </c>
      <c r="K16" s="85" t="s">
        <v>355</v>
      </c>
    </row>
    <row r="17" spans="1:11" ht="15" customHeight="1">
      <c r="A17" s="132" t="s">
        <v>19</v>
      </c>
      <c r="B17" s="18">
        <v>1500</v>
      </c>
      <c r="C17" s="14" t="s">
        <v>20</v>
      </c>
      <c r="D17" s="12" t="s">
        <v>268</v>
      </c>
      <c r="E17" s="17">
        <f t="shared" ref="E17:E50" si="4">1/(F17*G17)*B17</f>
        <v>1000</v>
      </c>
      <c r="F17" s="41">
        <v>1.5</v>
      </c>
      <c r="G17" s="17">
        <v>1</v>
      </c>
      <c r="H17" s="70">
        <f t="shared" si="0"/>
        <v>1500</v>
      </c>
      <c r="I17" s="18" t="s">
        <v>127</v>
      </c>
      <c r="J17" s="81">
        <f t="shared" ref="J17:J34" si="5">B17*194/100000</f>
        <v>2.91</v>
      </c>
      <c r="K17" s="107" t="s">
        <v>356</v>
      </c>
    </row>
    <row r="18" spans="1:11" ht="15" customHeight="1">
      <c r="A18" s="133"/>
      <c r="B18" s="18">
        <v>1500</v>
      </c>
      <c r="C18" s="14" t="s">
        <v>20</v>
      </c>
      <c r="D18" s="12" t="s">
        <v>269</v>
      </c>
      <c r="E18" s="17">
        <f t="shared" si="4"/>
        <v>1000</v>
      </c>
      <c r="F18" s="17">
        <v>1.5</v>
      </c>
      <c r="G18" s="17">
        <v>1</v>
      </c>
      <c r="H18" s="70">
        <f t="shared" si="0"/>
        <v>1500</v>
      </c>
      <c r="I18" s="18" t="s">
        <v>127</v>
      </c>
      <c r="J18" s="81">
        <f t="shared" si="5"/>
        <v>2.91</v>
      </c>
      <c r="K18" s="107"/>
    </row>
    <row r="19" spans="1:11" ht="15" customHeight="1">
      <c r="A19" s="133"/>
      <c r="B19" s="18">
        <v>1500</v>
      </c>
      <c r="C19" s="14" t="s">
        <v>20</v>
      </c>
      <c r="D19" s="12" t="s">
        <v>270</v>
      </c>
      <c r="E19" s="17">
        <f t="shared" si="4"/>
        <v>1000</v>
      </c>
      <c r="F19" s="17">
        <v>1.5</v>
      </c>
      <c r="G19" s="17">
        <v>1</v>
      </c>
      <c r="H19" s="70">
        <f t="shared" si="0"/>
        <v>1500</v>
      </c>
      <c r="I19" s="18" t="s">
        <v>127</v>
      </c>
      <c r="J19" s="81">
        <f t="shared" si="5"/>
        <v>2.91</v>
      </c>
      <c r="K19" s="107"/>
    </row>
    <row r="20" spans="1:11" s="1" customFormat="1" ht="15" customHeight="1">
      <c r="A20" s="133"/>
      <c r="B20" s="18">
        <v>1500</v>
      </c>
      <c r="C20" s="14" t="s">
        <v>20</v>
      </c>
      <c r="D20" s="12" t="s">
        <v>271</v>
      </c>
      <c r="E20" s="17">
        <f t="shared" si="4"/>
        <v>1000</v>
      </c>
      <c r="F20" s="17">
        <v>1.5</v>
      </c>
      <c r="G20" s="17">
        <v>1</v>
      </c>
      <c r="H20" s="70">
        <f t="shared" si="0"/>
        <v>1500</v>
      </c>
      <c r="I20" s="18" t="s">
        <v>127</v>
      </c>
      <c r="J20" s="81">
        <f t="shared" si="5"/>
        <v>2.91</v>
      </c>
      <c r="K20" s="107"/>
    </row>
    <row r="21" spans="1:11" s="1" customFormat="1" ht="15" customHeight="1">
      <c r="A21" s="133"/>
      <c r="B21" s="18">
        <v>1500</v>
      </c>
      <c r="C21" s="14" t="s">
        <v>20</v>
      </c>
      <c r="D21" s="12" t="s">
        <v>272</v>
      </c>
      <c r="E21" s="17">
        <f t="shared" si="4"/>
        <v>1000</v>
      </c>
      <c r="F21" s="17">
        <v>1.5</v>
      </c>
      <c r="G21" s="17">
        <v>1</v>
      </c>
      <c r="H21" s="70">
        <f t="shared" si="0"/>
        <v>1500</v>
      </c>
      <c r="I21" s="95" t="s">
        <v>127</v>
      </c>
      <c r="J21" s="81">
        <f t="shared" si="5"/>
        <v>2.91</v>
      </c>
      <c r="K21" s="107"/>
    </row>
    <row r="22" spans="1:11" s="1" customFormat="1" ht="15" customHeight="1">
      <c r="A22" s="133"/>
      <c r="B22" s="18">
        <v>1500</v>
      </c>
      <c r="C22" s="14" t="s">
        <v>20</v>
      </c>
      <c r="D22" s="12" t="s">
        <v>273</v>
      </c>
      <c r="E22" s="17">
        <f t="shared" si="4"/>
        <v>1000</v>
      </c>
      <c r="F22" s="17">
        <v>1.5</v>
      </c>
      <c r="G22" s="17">
        <v>1</v>
      </c>
      <c r="H22" s="70">
        <f t="shared" si="0"/>
        <v>1500</v>
      </c>
      <c r="I22" s="18" t="s">
        <v>127</v>
      </c>
      <c r="J22" s="81">
        <f t="shared" si="5"/>
        <v>2.91</v>
      </c>
      <c r="K22" s="107"/>
    </row>
    <row r="23" spans="1:11" s="1" customFormat="1" ht="15" customHeight="1">
      <c r="A23" s="133"/>
      <c r="B23" s="18">
        <v>1500</v>
      </c>
      <c r="C23" s="14" t="s">
        <v>20</v>
      </c>
      <c r="D23" s="12" t="s">
        <v>274</v>
      </c>
      <c r="E23" s="17">
        <f t="shared" si="4"/>
        <v>1000</v>
      </c>
      <c r="F23" s="17">
        <v>1.5</v>
      </c>
      <c r="G23" s="17">
        <v>1</v>
      </c>
      <c r="H23" s="70">
        <f t="shared" si="0"/>
        <v>1500</v>
      </c>
      <c r="I23" s="18" t="s">
        <v>127</v>
      </c>
      <c r="J23" s="81">
        <f t="shared" si="5"/>
        <v>2.91</v>
      </c>
      <c r="K23" s="107"/>
    </row>
    <row r="24" spans="1:11" s="1" customFormat="1" ht="15" customHeight="1">
      <c r="A24" s="133"/>
      <c r="B24" s="18">
        <v>1500</v>
      </c>
      <c r="C24" s="14" t="s">
        <v>20</v>
      </c>
      <c r="D24" s="12" t="s">
        <v>275</v>
      </c>
      <c r="E24" s="17">
        <f t="shared" si="4"/>
        <v>1000</v>
      </c>
      <c r="F24" s="17">
        <v>1.5</v>
      </c>
      <c r="G24" s="17">
        <v>1</v>
      </c>
      <c r="H24" s="70">
        <f t="shared" si="0"/>
        <v>1500</v>
      </c>
      <c r="I24" s="18" t="s">
        <v>127</v>
      </c>
      <c r="J24" s="81">
        <f t="shared" si="5"/>
        <v>2.91</v>
      </c>
      <c r="K24" s="107"/>
    </row>
    <row r="25" spans="1:11" s="1" customFormat="1" ht="15" customHeight="1">
      <c r="A25" s="133"/>
      <c r="B25" s="18">
        <v>1500</v>
      </c>
      <c r="C25" s="14" t="s">
        <v>20</v>
      </c>
      <c r="D25" s="12" t="s">
        <v>276</v>
      </c>
      <c r="E25" s="17">
        <f t="shared" si="4"/>
        <v>1000</v>
      </c>
      <c r="F25" s="17">
        <v>1.5</v>
      </c>
      <c r="G25" s="17">
        <v>1</v>
      </c>
      <c r="H25" s="70">
        <f t="shared" si="0"/>
        <v>1500</v>
      </c>
      <c r="I25" s="18" t="s">
        <v>127</v>
      </c>
      <c r="J25" s="81">
        <f t="shared" si="5"/>
        <v>2.91</v>
      </c>
      <c r="K25" s="107"/>
    </row>
    <row r="26" spans="1:11" s="1" customFormat="1" ht="15" customHeight="1">
      <c r="A26" s="133"/>
      <c r="B26" s="18">
        <v>1500</v>
      </c>
      <c r="C26" s="14" t="s">
        <v>20</v>
      </c>
      <c r="D26" s="12" t="s">
        <v>277</v>
      </c>
      <c r="E26" s="17">
        <f t="shared" si="4"/>
        <v>1000</v>
      </c>
      <c r="F26" s="17">
        <v>1.5</v>
      </c>
      <c r="G26" s="17">
        <v>1</v>
      </c>
      <c r="H26" s="70">
        <f t="shared" si="0"/>
        <v>1500</v>
      </c>
      <c r="I26" s="18" t="s">
        <v>127</v>
      </c>
      <c r="J26" s="81">
        <f t="shared" si="5"/>
        <v>2.91</v>
      </c>
      <c r="K26" s="107"/>
    </row>
    <row r="27" spans="1:11" s="1" customFormat="1" ht="15" customHeight="1">
      <c r="A27" s="133"/>
      <c r="B27" s="18">
        <v>1500</v>
      </c>
      <c r="C27" s="14" t="s">
        <v>20</v>
      </c>
      <c r="D27" s="12" t="s">
        <v>278</v>
      </c>
      <c r="E27" s="17">
        <f t="shared" si="4"/>
        <v>1000</v>
      </c>
      <c r="F27" s="17">
        <v>1.5</v>
      </c>
      <c r="G27" s="17">
        <v>1</v>
      </c>
      <c r="H27" s="70">
        <f t="shared" si="0"/>
        <v>1500</v>
      </c>
      <c r="I27" s="18" t="s">
        <v>127</v>
      </c>
      <c r="J27" s="81">
        <f t="shared" si="5"/>
        <v>2.91</v>
      </c>
      <c r="K27" s="107"/>
    </row>
    <row r="28" spans="1:11" s="1" customFormat="1" ht="15" customHeight="1">
      <c r="A28" s="133"/>
      <c r="B28" s="18">
        <v>1500</v>
      </c>
      <c r="C28" s="14" t="s">
        <v>20</v>
      </c>
      <c r="D28" s="12" t="s">
        <v>279</v>
      </c>
      <c r="E28" s="17">
        <f t="shared" si="4"/>
        <v>1000</v>
      </c>
      <c r="F28" s="17">
        <v>1.5</v>
      </c>
      <c r="G28" s="17">
        <v>1</v>
      </c>
      <c r="H28" s="70">
        <f t="shared" si="0"/>
        <v>1500</v>
      </c>
      <c r="I28" s="18" t="s">
        <v>127</v>
      </c>
      <c r="J28" s="81">
        <f t="shared" si="5"/>
        <v>2.91</v>
      </c>
      <c r="K28" s="107"/>
    </row>
    <row r="29" spans="1:11" s="1" customFormat="1" ht="15" customHeight="1">
      <c r="A29" s="133"/>
      <c r="B29" s="18">
        <v>1500</v>
      </c>
      <c r="C29" s="14" t="s">
        <v>20</v>
      </c>
      <c r="D29" s="12" t="s">
        <v>280</v>
      </c>
      <c r="E29" s="17">
        <f t="shared" si="4"/>
        <v>1000</v>
      </c>
      <c r="F29" s="17">
        <v>1.5</v>
      </c>
      <c r="G29" s="17">
        <v>1</v>
      </c>
      <c r="H29" s="70">
        <f t="shared" si="0"/>
        <v>1500</v>
      </c>
      <c r="I29" s="18" t="s">
        <v>127</v>
      </c>
      <c r="J29" s="81">
        <f t="shared" si="5"/>
        <v>2.91</v>
      </c>
      <c r="K29" s="107"/>
    </row>
    <row r="30" spans="1:11" s="1" customFormat="1" ht="15" customHeight="1">
      <c r="A30" s="133"/>
      <c r="B30" s="18">
        <v>1500</v>
      </c>
      <c r="C30" s="14" t="s">
        <v>20</v>
      </c>
      <c r="D30" s="12" t="s">
        <v>281</v>
      </c>
      <c r="E30" s="17">
        <f t="shared" si="4"/>
        <v>1000</v>
      </c>
      <c r="F30" s="17">
        <v>1.5</v>
      </c>
      <c r="G30" s="17">
        <v>1</v>
      </c>
      <c r="H30" s="70">
        <f t="shared" si="0"/>
        <v>1500</v>
      </c>
      <c r="I30" s="18" t="s">
        <v>127</v>
      </c>
      <c r="J30" s="81">
        <f t="shared" si="5"/>
        <v>2.91</v>
      </c>
      <c r="K30" s="107"/>
    </row>
    <row r="31" spans="1:11" s="1" customFormat="1" ht="15" customHeight="1">
      <c r="A31" s="133"/>
      <c r="B31" s="18">
        <v>1500</v>
      </c>
      <c r="C31" s="14" t="s">
        <v>20</v>
      </c>
      <c r="D31" s="12" t="s">
        <v>282</v>
      </c>
      <c r="E31" s="17">
        <f t="shared" si="4"/>
        <v>1000</v>
      </c>
      <c r="F31" s="17">
        <v>1.5</v>
      </c>
      <c r="G31" s="17">
        <v>1</v>
      </c>
      <c r="H31" s="70">
        <f t="shared" si="0"/>
        <v>1500</v>
      </c>
      <c r="I31" s="18" t="s">
        <v>127</v>
      </c>
      <c r="J31" s="81">
        <f t="shared" si="5"/>
        <v>2.91</v>
      </c>
      <c r="K31" s="107"/>
    </row>
    <row r="32" spans="1:11" s="1" customFormat="1" ht="15" customHeight="1">
      <c r="A32" s="133"/>
      <c r="B32" s="18">
        <v>1500</v>
      </c>
      <c r="C32" s="14" t="s">
        <v>20</v>
      </c>
      <c r="D32" s="12" t="s">
        <v>283</v>
      </c>
      <c r="E32" s="17">
        <f t="shared" si="4"/>
        <v>1000</v>
      </c>
      <c r="F32" s="17">
        <v>1.5</v>
      </c>
      <c r="G32" s="17">
        <v>1</v>
      </c>
      <c r="H32" s="70">
        <f t="shared" si="0"/>
        <v>1500</v>
      </c>
      <c r="I32" s="18" t="s">
        <v>127</v>
      </c>
      <c r="J32" s="81">
        <f t="shared" si="5"/>
        <v>2.91</v>
      </c>
      <c r="K32" s="107"/>
    </row>
    <row r="33" spans="1:11" s="1" customFormat="1" ht="15" customHeight="1">
      <c r="A33" s="133"/>
      <c r="B33" s="18">
        <v>1500</v>
      </c>
      <c r="C33" s="14" t="s">
        <v>20</v>
      </c>
      <c r="D33" s="12" t="s">
        <v>284</v>
      </c>
      <c r="E33" s="17">
        <f t="shared" si="4"/>
        <v>1000</v>
      </c>
      <c r="F33" s="17">
        <v>1.5</v>
      </c>
      <c r="G33" s="17">
        <v>1</v>
      </c>
      <c r="H33" s="70">
        <f t="shared" si="0"/>
        <v>1500</v>
      </c>
      <c r="I33" s="18" t="s">
        <v>127</v>
      </c>
      <c r="J33" s="81">
        <f t="shared" si="5"/>
        <v>2.91</v>
      </c>
      <c r="K33" s="107"/>
    </row>
    <row r="34" spans="1:11" s="1" customFormat="1" ht="15" customHeight="1">
      <c r="A34" s="134"/>
      <c r="B34" s="18">
        <v>1500</v>
      </c>
      <c r="C34" s="14" t="s">
        <v>20</v>
      </c>
      <c r="D34" s="12" t="s">
        <v>285</v>
      </c>
      <c r="E34" s="17">
        <f t="shared" si="4"/>
        <v>1000</v>
      </c>
      <c r="F34" s="17">
        <v>1.5</v>
      </c>
      <c r="G34" s="17">
        <v>1</v>
      </c>
      <c r="H34" s="70">
        <f t="shared" si="0"/>
        <v>1500</v>
      </c>
      <c r="I34" s="18" t="s">
        <v>127</v>
      </c>
      <c r="J34" s="81">
        <f t="shared" si="5"/>
        <v>2.91</v>
      </c>
      <c r="K34" s="107"/>
    </row>
    <row r="35" spans="1:11" s="1" customFormat="1" ht="15" customHeight="1">
      <c r="A35" s="186"/>
      <c r="B35" s="187"/>
      <c r="C35" s="188"/>
      <c r="D35" s="189"/>
      <c r="E35" s="187"/>
      <c r="F35" s="187"/>
      <c r="G35" s="187"/>
      <c r="H35" s="187"/>
      <c r="I35" s="187"/>
      <c r="J35" s="187"/>
      <c r="K35" s="107"/>
    </row>
    <row r="36" spans="1:11" s="1" customFormat="1" ht="15" customHeight="1">
      <c r="A36" s="132" t="s">
        <v>19</v>
      </c>
      <c r="B36" s="18">
        <v>1500</v>
      </c>
      <c r="C36" s="14" t="s">
        <v>20</v>
      </c>
      <c r="D36" s="12" t="s">
        <v>286</v>
      </c>
      <c r="E36" s="17">
        <f t="shared" si="4"/>
        <v>1000</v>
      </c>
      <c r="F36" s="17">
        <v>1.5</v>
      </c>
      <c r="G36" s="17">
        <v>1</v>
      </c>
      <c r="H36" s="70">
        <f t="shared" si="0"/>
        <v>1500</v>
      </c>
      <c r="I36" s="18" t="s">
        <v>127</v>
      </c>
      <c r="J36" s="79">
        <f>B36*194/100000</f>
        <v>2.91</v>
      </c>
      <c r="K36" s="108" t="s">
        <v>357</v>
      </c>
    </row>
    <row r="37" spans="1:11" s="1" customFormat="1" ht="15" customHeight="1">
      <c r="A37" s="133"/>
      <c r="B37" s="18">
        <v>1500</v>
      </c>
      <c r="C37" s="14" t="s">
        <v>20</v>
      </c>
      <c r="D37" s="12" t="s">
        <v>287</v>
      </c>
      <c r="E37" s="17">
        <f t="shared" si="4"/>
        <v>1000</v>
      </c>
      <c r="F37" s="17">
        <v>1.5</v>
      </c>
      <c r="G37" s="17">
        <v>1</v>
      </c>
      <c r="H37" s="70">
        <f t="shared" si="0"/>
        <v>1500</v>
      </c>
      <c r="I37" s="18" t="s">
        <v>127</v>
      </c>
      <c r="J37" s="79">
        <f t="shared" ref="J37:J52" si="6">B37*194/100000</f>
        <v>2.91</v>
      </c>
      <c r="K37" s="108"/>
    </row>
    <row r="38" spans="1:11" s="1" customFormat="1" ht="15" customHeight="1">
      <c r="A38" s="133"/>
      <c r="B38" s="18">
        <v>1500</v>
      </c>
      <c r="C38" s="14" t="s">
        <v>20</v>
      </c>
      <c r="D38" s="12" t="s">
        <v>288</v>
      </c>
      <c r="E38" s="17">
        <f t="shared" si="4"/>
        <v>1000</v>
      </c>
      <c r="F38" s="17">
        <v>1.5</v>
      </c>
      <c r="G38" s="17">
        <v>1</v>
      </c>
      <c r="H38" s="70">
        <f t="shared" si="0"/>
        <v>1500</v>
      </c>
      <c r="I38" s="18" t="s">
        <v>127</v>
      </c>
      <c r="J38" s="79">
        <f t="shared" si="6"/>
        <v>2.91</v>
      </c>
      <c r="K38" s="108"/>
    </row>
    <row r="39" spans="1:11" s="1" customFormat="1" ht="15" customHeight="1">
      <c r="A39" s="133"/>
      <c r="B39" s="18">
        <v>1500</v>
      </c>
      <c r="C39" s="14" t="s">
        <v>20</v>
      </c>
      <c r="D39" s="12" t="s">
        <v>289</v>
      </c>
      <c r="E39" s="17">
        <f t="shared" si="4"/>
        <v>1000</v>
      </c>
      <c r="F39" s="17">
        <v>1.5</v>
      </c>
      <c r="G39" s="17">
        <v>1</v>
      </c>
      <c r="H39" s="70">
        <f t="shared" si="0"/>
        <v>1500</v>
      </c>
      <c r="I39" s="18" t="s">
        <v>127</v>
      </c>
      <c r="J39" s="79">
        <f t="shared" si="6"/>
        <v>2.91</v>
      </c>
      <c r="K39" s="108"/>
    </row>
    <row r="40" spans="1:11" s="1" customFormat="1" ht="15" customHeight="1">
      <c r="A40" s="133"/>
      <c r="B40" s="18">
        <v>1500</v>
      </c>
      <c r="C40" s="14" t="s">
        <v>20</v>
      </c>
      <c r="D40" s="12" t="s">
        <v>290</v>
      </c>
      <c r="E40" s="17">
        <f t="shared" si="4"/>
        <v>1000</v>
      </c>
      <c r="F40" s="17">
        <v>1.5</v>
      </c>
      <c r="G40" s="17">
        <v>1</v>
      </c>
      <c r="H40" s="70">
        <f t="shared" si="0"/>
        <v>1500</v>
      </c>
      <c r="I40" s="18" t="s">
        <v>127</v>
      </c>
      <c r="J40" s="79">
        <f t="shared" si="6"/>
        <v>2.91</v>
      </c>
      <c r="K40" s="108"/>
    </row>
    <row r="41" spans="1:11" s="1" customFormat="1" ht="15" customHeight="1">
      <c r="A41" s="133"/>
      <c r="B41" s="18">
        <v>1500</v>
      </c>
      <c r="C41" s="14" t="s">
        <v>20</v>
      </c>
      <c r="D41" s="12" t="s">
        <v>291</v>
      </c>
      <c r="E41" s="17">
        <f t="shared" si="4"/>
        <v>1000</v>
      </c>
      <c r="F41" s="17">
        <v>1.5</v>
      </c>
      <c r="G41" s="17">
        <v>1</v>
      </c>
      <c r="H41" s="70">
        <f t="shared" si="0"/>
        <v>1500</v>
      </c>
      <c r="I41" s="18" t="s">
        <v>127</v>
      </c>
      <c r="J41" s="79">
        <f t="shared" si="6"/>
        <v>2.91</v>
      </c>
      <c r="K41" s="108"/>
    </row>
    <row r="42" spans="1:11" s="1" customFormat="1" ht="15" customHeight="1">
      <c r="A42" s="133"/>
      <c r="B42" s="18">
        <v>1500</v>
      </c>
      <c r="C42" s="14" t="s">
        <v>20</v>
      </c>
      <c r="D42" s="12" t="s">
        <v>292</v>
      </c>
      <c r="E42" s="17">
        <f t="shared" si="4"/>
        <v>1000</v>
      </c>
      <c r="F42" s="17">
        <v>1.5</v>
      </c>
      <c r="G42" s="17">
        <v>1</v>
      </c>
      <c r="H42" s="70">
        <f t="shared" si="0"/>
        <v>1500</v>
      </c>
      <c r="I42" s="18" t="s">
        <v>127</v>
      </c>
      <c r="J42" s="79">
        <f t="shared" si="6"/>
        <v>2.91</v>
      </c>
      <c r="K42" s="108"/>
    </row>
    <row r="43" spans="1:11" s="1" customFormat="1" ht="15" customHeight="1">
      <c r="A43" s="133"/>
      <c r="B43" s="18">
        <v>1500</v>
      </c>
      <c r="C43" s="14" t="s">
        <v>20</v>
      </c>
      <c r="D43" s="12" t="s">
        <v>293</v>
      </c>
      <c r="E43" s="17">
        <f t="shared" si="4"/>
        <v>1000</v>
      </c>
      <c r="F43" s="17">
        <v>1.5</v>
      </c>
      <c r="G43" s="17">
        <v>1</v>
      </c>
      <c r="H43" s="70">
        <f t="shared" si="0"/>
        <v>1500</v>
      </c>
      <c r="I43" s="18" t="s">
        <v>127</v>
      </c>
      <c r="J43" s="79">
        <f t="shared" si="6"/>
        <v>2.91</v>
      </c>
      <c r="K43" s="108"/>
    </row>
    <row r="44" spans="1:11" s="1" customFormat="1" ht="15" customHeight="1">
      <c r="A44" s="133"/>
      <c r="B44" s="18">
        <v>1500</v>
      </c>
      <c r="C44" s="14" t="s">
        <v>20</v>
      </c>
      <c r="D44" s="12" t="s">
        <v>294</v>
      </c>
      <c r="E44" s="17">
        <f t="shared" si="4"/>
        <v>1000</v>
      </c>
      <c r="F44" s="17">
        <v>1.5</v>
      </c>
      <c r="G44" s="17">
        <v>1</v>
      </c>
      <c r="H44" s="70">
        <f t="shared" si="0"/>
        <v>1500</v>
      </c>
      <c r="I44" s="18" t="s">
        <v>127</v>
      </c>
      <c r="J44" s="79">
        <f t="shared" si="6"/>
        <v>2.91</v>
      </c>
      <c r="K44" s="108"/>
    </row>
    <row r="45" spans="1:11" s="1" customFormat="1" ht="15" customHeight="1">
      <c r="A45" s="133"/>
      <c r="B45" s="18">
        <v>1500</v>
      </c>
      <c r="C45" s="14" t="s">
        <v>20</v>
      </c>
      <c r="D45" s="12" t="s">
        <v>180</v>
      </c>
      <c r="E45" s="17">
        <f t="shared" si="4"/>
        <v>1000</v>
      </c>
      <c r="F45" s="17">
        <v>1.5</v>
      </c>
      <c r="G45" s="17">
        <v>1</v>
      </c>
      <c r="H45" s="70">
        <f t="shared" si="0"/>
        <v>1500</v>
      </c>
      <c r="I45" s="18" t="s">
        <v>127</v>
      </c>
      <c r="J45" s="79">
        <f t="shared" si="6"/>
        <v>2.91</v>
      </c>
      <c r="K45" s="108"/>
    </row>
    <row r="46" spans="1:11" s="1" customFormat="1" ht="15" customHeight="1">
      <c r="A46" s="133"/>
      <c r="B46" s="18">
        <v>1500</v>
      </c>
      <c r="C46" s="14" t="s">
        <v>20</v>
      </c>
      <c r="D46" s="12" t="s">
        <v>295</v>
      </c>
      <c r="E46" s="17">
        <f t="shared" si="4"/>
        <v>1000</v>
      </c>
      <c r="F46" s="17">
        <v>1.5</v>
      </c>
      <c r="G46" s="17">
        <v>1</v>
      </c>
      <c r="H46" s="70">
        <f t="shared" si="0"/>
        <v>1500</v>
      </c>
      <c r="I46" s="18" t="s">
        <v>127</v>
      </c>
      <c r="J46" s="79">
        <f t="shared" si="6"/>
        <v>2.91</v>
      </c>
      <c r="K46" s="108"/>
    </row>
    <row r="47" spans="1:11" s="1" customFormat="1" ht="15" customHeight="1">
      <c r="A47" s="133"/>
      <c r="B47" s="18">
        <v>1500</v>
      </c>
      <c r="C47" s="14" t="s">
        <v>20</v>
      </c>
      <c r="D47" s="12" t="s">
        <v>296</v>
      </c>
      <c r="E47" s="17">
        <f t="shared" si="4"/>
        <v>1000</v>
      </c>
      <c r="F47" s="17">
        <v>1.5</v>
      </c>
      <c r="G47" s="17">
        <v>1</v>
      </c>
      <c r="H47" s="70">
        <f t="shared" si="0"/>
        <v>1500</v>
      </c>
      <c r="I47" s="18" t="s">
        <v>127</v>
      </c>
      <c r="J47" s="79">
        <f t="shared" si="6"/>
        <v>2.91</v>
      </c>
      <c r="K47" s="108"/>
    </row>
    <row r="48" spans="1:11" s="1" customFormat="1" ht="15" customHeight="1">
      <c r="A48" s="133"/>
      <c r="B48" s="18">
        <v>1500</v>
      </c>
      <c r="C48" s="14" t="s">
        <v>20</v>
      </c>
      <c r="D48" s="12" t="s">
        <v>297</v>
      </c>
      <c r="E48" s="17">
        <f t="shared" si="4"/>
        <v>1000</v>
      </c>
      <c r="F48" s="17">
        <v>1.5</v>
      </c>
      <c r="G48" s="17">
        <v>1</v>
      </c>
      <c r="H48" s="70">
        <f t="shared" si="0"/>
        <v>1500</v>
      </c>
      <c r="I48" s="18" t="s">
        <v>127</v>
      </c>
      <c r="J48" s="79">
        <f t="shared" si="6"/>
        <v>2.91</v>
      </c>
      <c r="K48" s="108"/>
    </row>
    <row r="49" spans="1:12" s="1" customFormat="1" ht="15" customHeight="1">
      <c r="A49" s="133"/>
      <c r="B49" s="18">
        <v>1500</v>
      </c>
      <c r="C49" s="14" t="s">
        <v>20</v>
      </c>
      <c r="D49" s="12" t="s">
        <v>298</v>
      </c>
      <c r="E49" s="17">
        <f t="shared" si="4"/>
        <v>1000</v>
      </c>
      <c r="F49" s="17">
        <v>1.5</v>
      </c>
      <c r="G49" s="17">
        <v>1</v>
      </c>
      <c r="H49" s="70">
        <f t="shared" si="0"/>
        <v>1500</v>
      </c>
      <c r="I49" s="18" t="s">
        <v>127</v>
      </c>
      <c r="J49" s="79">
        <f t="shared" si="6"/>
        <v>2.91</v>
      </c>
      <c r="K49" s="108"/>
    </row>
    <row r="50" spans="1:12" s="1" customFormat="1" ht="15" customHeight="1">
      <c r="A50" s="133"/>
      <c r="B50" s="18">
        <v>1500</v>
      </c>
      <c r="C50" s="14" t="s">
        <v>20</v>
      </c>
      <c r="D50" s="12" t="s">
        <v>299</v>
      </c>
      <c r="E50" s="17">
        <f t="shared" si="4"/>
        <v>1000</v>
      </c>
      <c r="F50" s="17">
        <v>1.5</v>
      </c>
      <c r="G50" s="17">
        <v>1</v>
      </c>
      <c r="H50" s="70">
        <f t="shared" si="0"/>
        <v>1500</v>
      </c>
      <c r="I50" s="18" t="s">
        <v>127</v>
      </c>
      <c r="J50" s="79">
        <f t="shared" si="6"/>
        <v>2.91</v>
      </c>
      <c r="K50" s="108"/>
    </row>
    <row r="51" spans="1:12" s="1" customFormat="1" ht="15" customHeight="1">
      <c r="A51" s="133"/>
      <c r="B51" s="18">
        <v>1500</v>
      </c>
      <c r="C51" s="14" t="s">
        <v>20</v>
      </c>
      <c r="D51" s="12" t="s">
        <v>300</v>
      </c>
      <c r="E51" s="17">
        <f t="shared" ref="E51:E52" si="7">1/(F51*G51)*B51</f>
        <v>1000</v>
      </c>
      <c r="F51" s="17">
        <v>1.5</v>
      </c>
      <c r="G51" s="17">
        <v>1</v>
      </c>
      <c r="H51" s="70">
        <f t="shared" si="0"/>
        <v>1500</v>
      </c>
      <c r="I51" s="18" t="s">
        <v>127</v>
      </c>
      <c r="J51" s="79">
        <f t="shared" si="6"/>
        <v>2.91</v>
      </c>
      <c r="K51" s="108"/>
    </row>
    <row r="52" spans="1:12" s="1" customFormat="1" ht="15" customHeight="1">
      <c r="A52" s="133"/>
      <c r="B52" s="18">
        <v>1500</v>
      </c>
      <c r="C52" s="14" t="s">
        <v>20</v>
      </c>
      <c r="D52" s="12" t="s">
        <v>301</v>
      </c>
      <c r="E52" s="17">
        <f t="shared" si="7"/>
        <v>1000</v>
      </c>
      <c r="F52" s="17">
        <v>1.5</v>
      </c>
      <c r="G52" s="17">
        <v>1</v>
      </c>
      <c r="H52" s="70">
        <f t="shared" si="0"/>
        <v>1500</v>
      </c>
      <c r="I52" s="18" t="s">
        <v>127</v>
      </c>
      <c r="J52" s="79">
        <f t="shared" si="6"/>
        <v>2.91</v>
      </c>
      <c r="K52" s="108"/>
    </row>
    <row r="53" spans="1:12" s="1" customFormat="1" ht="15" customHeight="1">
      <c r="A53" s="134"/>
      <c r="B53" s="190"/>
      <c r="C53" s="191"/>
      <c r="D53" s="192"/>
      <c r="E53" s="193"/>
      <c r="F53" s="193"/>
      <c r="G53" s="193"/>
      <c r="H53" s="193"/>
      <c r="I53" s="193"/>
      <c r="J53" s="193"/>
      <c r="K53" s="108"/>
    </row>
    <row r="54" spans="1:12" ht="15" customHeight="1">
      <c r="A54" s="36" t="s">
        <v>21</v>
      </c>
      <c r="B54" s="36"/>
      <c r="C54" s="36"/>
      <c r="D54" s="59"/>
      <c r="E54" s="36"/>
      <c r="F54" s="36"/>
      <c r="G54" s="36"/>
      <c r="H54" s="36"/>
      <c r="I54" s="36"/>
      <c r="J54" s="36"/>
      <c r="K54" s="83"/>
    </row>
    <row r="55" spans="1:12" s="1" customFormat="1" ht="15" customHeight="1">
      <c r="A55" s="26"/>
      <c r="B55" s="26"/>
      <c r="C55" s="26"/>
      <c r="D55" s="78"/>
      <c r="E55" s="78"/>
      <c r="F55" s="78"/>
      <c r="G55" s="78"/>
      <c r="H55" s="78"/>
      <c r="I55" s="78"/>
      <c r="J55" s="78"/>
      <c r="K55" s="84"/>
    </row>
    <row r="56" spans="1:12" ht="15" customHeight="1">
      <c r="A56" s="114" t="s">
        <v>22</v>
      </c>
      <c r="B56" s="101">
        <v>5000</v>
      </c>
      <c r="C56" s="104" t="s">
        <v>23</v>
      </c>
      <c r="D56" s="16" t="s">
        <v>262</v>
      </c>
      <c r="E56" s="141">
        <f>1/(F56*G56)*B56</f>
        <v>125</v>
      </c>
      <c r="F56" s="141">
        <v>20</v>
      </c>
      <c r="G56" s="141">
        <v>2</v>
      </c>
      <c r="H56" s="141">
        <f>G56*F56*E56</f>
        <v>5000</v>
      </c>
      <c r="I56" s="101" t="s">
        <v>127</v>
      </c>
      <c r="J56" s="101">
        <f>B56*194/100000</f>
        <v>9.6999999999999993</v>
      </c>
      <c r="K56" s="107" t="s">
        <v>358</v>
      </c>
    </row>
    <row r="57" spans="1:12" s="1" customFormat="1" ht="15" customHeight="1">
      <c r="A57" s="112"/>
      <c r="B57" s="102"/>
      <c r="C57" s="105"/>
      <c r="D57" s="16" t="s">
        <v>263</v>
      </c>
      <c r="E57" s="142"/>
      <c r="F57" s="142"/>
      <c r="G57" s="142"/>
      <c r="H57" s="142"/>
      <c r="I57" s="142"/>
      <c r="J57" s="102"/>
      <c r="K57" s="107"/>
    </row>
    <row r="58" spans="1:12" s="1" customFormat="1" ht="15" customHeight="1">
      <c r="A58" s="112"/>
      <c r="B58" s="102"/>
      <c r="C58" s="105"/>
      <c r="D58" s="16" t="s">
        <v>266</v>
      </c>
      <c r="E58" s="142"/>
      <c r="F58" s="142"/>
      <c r="G58" s="142"/>
      <c r="H58" s="142"/>
      <c r="I58" s="142"/>
      <c r="J58" s="102"/>
      <c r="K58" s="107"/>
    </row>
    <row r="59" spans="1:12" s="1" customFormat="1" ht="15" customHeight="1">
      <c r="A59" s="112"/>
      <c r="B59" s="102"/>
      <c r="C59" s="105"/>
      <c r="D59" s="16" t="s">
        <v>267</v>
      </c>
      <c r="E59" s="142"/>
      <c r="F59" s="142"/>
      <c r="G59" s="142"/>
      <c r="H59" s="142"/>
      <c r="I59" s="142"/>
      <c r="J59" s="102"/>
      <c r="K59" s="107"/>
    </row>
    <row r="60" spans="1:12" s="1" customFormat="1" ht="15" customHeight="1">
      <c r="A60" s="112"/>
      <c r="B60" s="102"/>
      <c r="C60" s="105"/>
      <c r="D60" s="16" t="s">
        <v>264</v>
      </c>
      <c r="E60" s="142"/>
      <c r="F60" s="142"/>
      <c r="G60" s="142"/>
      <c r="H60" s="142"/>
      <c r="I60" s="142"/>
      <c r="J60" s="102"/>
      <c r="K60" s="107"/>
    </row>
    <row r="61" spans="1:12" s="1" customFormat="1" ht="15" customHeight="1">
      <c r="A61" s="112"/>
      <c r="B61" s="103"/>
      <c r="C61" s="106"/>
      <c r="D61" s="16" t="s">
        <v>265</v>
      </c>
      <c r="E61" s="143"/>
      <c r="F61" s="143"/>
      <c r="G61" s="143"/>
      <c r="H61" s="143"/>
      <c r="I61" s="143"/>
      <c r="J61" s="103"/>
      <c r="K61" s="107"/>
    </row>
    <row r="62" spans="1:12" ht="15" customHeight="1">
      <c r="A62" s="112"/>
      <c r="B62" s="18">
        <v>120</v>
      </c>
      <c r="C62" s="11" t="s">
        <v>24</v>
      </c>
      <c r="D62" s="16" t="s">
        <v>44</v>
      </c>
      <c r="E62" s="17">
        <v>500</v>
      </c>
      <c r="F62" s="17">
        <v>1</v>
      </c>
      <c r="G62" s="17">
        <v>1</v>
      </c>
      <c r="H62" s="17">
        <f>G62*F62*E62</f>
        <v>500</v>
      </c>
      <c r="I62" s="18" t="s">
        <v>127</v>
      </c>
      <c r="J62" s="18">
        <f>100000/100000</f>
        <v>1</v>
      </c>
      <c r="K62" s="85" t="s">
        <v>359</v>
      </c>
    </row>
    <row r="63" spans="1:12" ht="15" customHeight="1">
      <c r="A63" s="113"/>
      <c r="B63" s="194">
        <v>20</v>
      </c>
      <c r="C63" s="75" t="s">
        <v>25</v>
      </c>
      <c r="D63" s="37" t="s">
        <v>101</v>
      </c>
      <c r="E63" s="195">
        <v>2.5</v>
      </c>
      <c r="F63" s="195">
        <v>1.2</v>
      </c>
      <c r="G63" s="195">
        <v>0.45</v>
      </c>
      <c r="H63" s="195">
        <f t="shared" ref="H63:H103" si="8">G63*F63*E63</f>
        <v>1.35</v>
      </c>
      <c r="I63" s="194" t="s">
        <v>127</v>
      </c>
      <c r="J63" s="194">
        <f>93880/100000</f>
        <v>0.93879999999999997</v>
      </c>
      <c r="K63" s="85" t="s">
        <v>360</v>
      </c>
      <c r="L63">
        <f>45000*3</f>
        <v>135000</v>
      </c>
    </row>
    <row r="64" spans="1:12" ht="49.5" customHeight="1">
      <c r="A64" s="33" t="s">
        <v>26</v>
      </c>
      <c r="B64" s="18">
        <v>2500</v>
      </c>
      <c r="C64" s="11" t="s">
        <v>27</v>
      </c>
      <c r="D64" s="16" t="s">
        <v>42</v>
      </c>
      <c r="E64" s="17">
        <f>1/(F64*G64)*B64</f>
        <v>2500</v>
      </c>
      <c r="F64" s="17">
        <v>1</v>
      </c>
      <c r="G64" s="17">
        <v>1</v>
      </c>
      <c r="H64" s="17">
        <f t="shared" si="8"/>
        <v>2500</v>
      </c>
      <c r="I64" s="18" t="s">
        <v>127</v>
      </c>
      <c r="J64" s="18">
        <f>B64*194/100000</f>
        <v>4.8499999999999996</v>
      </c>
      <c r="K64" s="85" t="s">
        <v>361</v>
      </c>
    </row>
    <row r="65" spans="1:11" ht="15" customHeight="1">
      <c r="A65" s="115" t="s">
        <v>28</v>
      </c>
      <c r="B65" s="194">
        <v>15</v>
      </c>
      <c r="C65" s="196" t="s">
        <v>66</v>
      </c>
      <c r="D65" s="37" t="s">
        <v>333</v>
      </c>
      <c r="E65" s="195">
        <v>3.05</v>
      </c>
      <c r="F65" s="195">
        <v>2</v>
      </c>
      <c r="G65" s="195">
        <v>2.2000000000000002</v>
      </c>
      <c r="H65" s="195">
        <f t="shared" si="8"/>
        <v>13.42</v>
      </c>
      <c r="I65" s="194" t="s">
        <v>577</v>
      </c>
      <c r="J65" s="194">
        <f>90000/100000</f>
        <v>0.9</v>
      </c>
      <c r="K65" s="85" t="s">
        <v>362</v>
      </c>
    </row>
    <row r="66" spans="1:11" ht="15" customHeight="1">
      <c r="A66" s="115"/>
      <c r="B66" s="194">
        <v>60</v>
      </c>
      <c r="C66" s="35" t="s">
        <v>67</v>
      </c>
      <c r="D66" s="37" t="s">
        <v>100</v>
      </c>
      <c r="E66" s="195">
        <v>3.05</v>
      </c>
      <c r="F66" s="195">
        <v>2</v>
      </c>
      <c r="G66" s="195">
        <v>2.2000000000000002</v>
      </c>
      <c r="H66" s="195">
        <f t="shared" si="8"/>
        <v>13.42</v>
      </c>
      <c r="I66" s="194" t="s">
        <v>577</v>
      </c>
      <c r="J66" s="194">
        <f>1211640/100000</f>
        <v>12.116400000000001</v>
      </c>
      <c r="K66" s="86" t="s">
        <v>363</v>
      </c>
    </row>
    <row r="67" spans="1:11" s="1" customFormat="1" ht="15" customHeight="1">
      <c r="A67" s="123" t="s">
        <v>29</v>
      </c>
      <c r="B67" s="18">
        <v>780</v>
      </c>
      <c r="C67" s="30" t="s">
        <v>30</v>
      </c>
      <c r="D67" s="12" t="s">
        <v>302</v>
      </c>
      <c r="E67" s="17">
        <f t="shared" ref="E67:E77" si="9">1/(F67*G67)*B67</f>
        <v>95.823095823095812</v>
      </c>
      <c r="F67" s="17">
        <v>3.7</v>
      </c>
      <c r="G67" s="17">
        <v>2.2000000000000002</v>
      </c>
      <c r="H67" s="17">
        <f t="shared" si="8"/>
        <v>780</v>
      </c>
      <c r="I67" s="18" t="s">
        <v>127</v>
      </c>
      <c r="J67" s="18">
        <f>B67*194/100000</f>
        <v>1.5132000000000001</v>
      </c>
      <c r="K67" s="135" t="s">
        <v>364</v>
      </c>
    </row>
    <row r="68" spans="1:11" s="1" customFormat="1" ht="15" customHeight="1">
      <c r="A68" s="124"/>
      <c r="B68" s="18">
        <v>780</v>
      </c>
      <c r="C68" s="13" t="s">
        <v>30</v>
      </c>
      <c r="D68" s="12" t="s">
        <v>303</v>
      </c>
      <c r="E68" s="17">
        <f t="shared" si="9"/>
        <v>95.823095823095812</v>
      </c>
      <c r="F68" s="17">
        <v>3.7</v>
      </c>
      <c r="G68" s="17">
        <v>2.2000000000000002</v>
      </c>
      <c r="H68" s="17">
        <f t="shared" si="8"/>
        <v>780</v>
      </c>
      <c r="I68" s="18" t="s">
        <v>127</v>
      </c>
      <c r="J68" s="81">
        <f t="shared" ref="J68:J85" si="10">B68*194/100000</f>
        <v>1.5132000000000001</v>
      </c>
      <c r="K68" s="136"/>
    </row>
    <row r="69" spans="1:11" s="1" customFormat="1" ht="15" customHeight="1">
      <c r="A69" s="124"/>
      <c r="B69" s="18">
        <v>780</v>
      </c>
      <c r="C69" s="13" t="s">
        <v>30</v>
      </c>
      <c r="D69" s="12" t="s">
        <v>304</v>
      </c>
      <c r="E69" s="17">
        <f t="shared" si="9"/>
        <v>95.823095823095812</v>
      </c>
      <c r="F69" s="17">
        <v>3.7</v>
      </c>
      <c r="G69" s="17">
        <v>2.2000000000000002</v>
      </c>
      <c r="H69" s="17">
        <f t="shared" si="8"/>
        <v>780</v>
      </c>
      <c r="I69" s="18" t="s">
        <v>127</v>
      </c>
      <c r="J69" s="81">
        <f t="shared" si="10"/>
        <v>1.5132000000000001</v>
      </c>
      <c r="K69" s="136"/>
    </row>
    <row r="70" spans="1:11" s="1" customFormat="1" ht="15" customHeight="1">
      <c r="A70" s="124"/>
      <c r="B70" s="18">
        <v>780</v>
      </c>
      <c r="C70" s="13" t="s">
        <v>30</v>
      </c>
      <c r="D70" s="12" t="s">
        <v>305</v>
      </c>
      <c r="E70" s="17">
        <f t="shared" si="9"/>
        <v>95.823095823095812</v>
      </c>
      <c r="F70" s="17">
        <v>3.7</v>
      </c>
      <c r="G70" s="17">
        <v>2.2000000000000002</v>
      </c>
      <c r="H70" s="17">
        <f t="shared" si="8"/>
        <v>780</v>
      </c>
      <c r="I70" s="18" t="s">
        <v>127</v>
      </c>
      <c r="J70" s="81">
        <f t="shared" si="10"/>
        <v>1.5132000000000001</v>
      </c>
      <c r="K70" s="136"/>
    </row>
    <row r="71" spans="1:11" s="1" customFormat="1" ht="15" customHeight="1">
      <c r="A71" s="124"/>
      <c r="B71" s="18">
        <v>780</v>
      </c>
      <c r="C71" s="13" t="s">
        <v>30</v>
      </c>
      <c r="D71" s="12" t="s">
        <v>306</v>
      </c>
      <c r="E71" s="17">
        <f t="shared" si="9"/>
        <v>95.823095823095812</v>
      </c>
      <c r="F71" s="17">
        <v>3.7</v>
      </c>
      <c r="G71" s="17">
        <v>2.2000000000000002</v>
      </c>
      <c r="H71" s="17">
        <f t="shared" si="8"/>
        <v>780</v>
      </c>
      <c r="I71" s="18" t="s">
        <v>127</v>
      </c>
      <c r="J71" s="81">
        <f t="shared" si="10"/>
        <v>1.5132000000000001</v>
      </c>
      <c r="K71" s="136"/>
    </row>
    <row r="72" spans="1:11" s="1" customFormat="1" ht="15" customHeight="1">
      <c r="A72" s="124"/>
      <c r="B72" s="18">
        <v>780</v>
      </c>
      <c r="C72" s="13" t="s">
        <v>30</v>
      </c>
      <c r="D72" s="12" t="s">
        <v>270</v>
      </c>
      <c r="E72" s="17">
        <f t="shared" si="9"/>
        <v>95.823095823095812</v>
      </c>
      <c r="F72" s="17">
        <v>3.7</v>
      </c>
      <c r="G72" s="17">
        <v>2.2000000000000002</v>
      </c>
      <c r="H72" s="17">
        <f t="shared" si="8"/>
        <v>780</v>
      </c>
      <c r="I72" s="18" t="s">
        <v>127</v>
      </c>
      <c r="J72" s="81">
        <f t="shared" si="10"/>
        <v>1.5132000000000001</v>
      </c>
      <c r="K72" s="136"/>
    </row>
    <row r="73" spans="1:11" s="1" customFormat="1" ht="15" customHeight="1">
      <c r="A73" s="124"/>
      <c r="B73" s="18">
        <v>780</v>
      </c>
      <c r="C73" s="13" t="s">
        <v>30</v>
      </c>
      <c r="D73" s="12" t="s">
        <v>247</v>
      </c>
      <c r="E73" s="17">
        <f t="shared" si="9"/>
        <v>95.823095823095812</v>
      </c>
      <c r="F73" s="17">
        <v>3.7</v>
      </c>
      <c r="G73" s="17">
        <v>2.2000000000000002</v>
      </c>
      <c r="H73" s="17">
        <f t="shared" si="8"/>
        <v>780</v>
      </c>
      <c r="I73" s="18" t="s">
        <v>127</v>
      </c>
      <c r="J73" s="81">
        <f t="shared" si="10"/>
        <v>1.5132000000000001</v>
      </c>
      <c r="K73" s="136"/>
    </row>
    <row r="74" spans="1:11" s="1" customFormat="1" ht="15" customHeight="1">
      <c r="A74" s="123" t="s">
        <v>29</v>
      </c>
      <c r="B74" s="18">
        <v>780</v>
      </c>
      <c r="C74" s="13" t="s">
        <v>30</v>
      </c>
      <c r="D74" s="12" t="s">
        <v>271</v>
      </c>
      <c r="E74" s="17">
        <f t="shared" si="9"/>
        <v>95.823095823095812</v>
      </c>
      <c r="F74" s="17">
        <v>3.7</v>
      </c>
      <c r="G74" s="17">
        <v>2.2000000000000002</v>
      </c>
      <c r="H74" s="17">
        <f t="shared" si="8"/>
        <v>780</v>
      </c>
      <c r="I74" s="18" t="s">
        <v>127</v>
      </c>
      <c r="J74" s="81">
        <f t="shared" si="10"/>
        <v>1.5132000000000001</v>
      </c>
      <c r="K74" s="136"/>
    </row>
    <row r="75" spans="1:11" s="1" customFormat="1" ht="15" customHeight="1">
      <c r="A75" s="124"/>
      <c r="B75" s="18">
        <v>780</v>
      </c>
      <c r="C75" s="13" t="s">
        <v>30</v>
      </c>
      <c r="D75" s="12" t="s">
        <v>301</v>
      </c>
      <c r="E75" s="17">
        <f t="shared" si="9"/>
        <v>95.823095823095812</v>
      </c>
      <c r="F75" s="17">
        <v>3.7</v>
      </c>
      <c r="G75" s="17">
        <v>2.2000000000000002</v>
      </c>
      <c r="H75" s="17">
        <f t="shared" si="8"/>
        <v>780</v>
      </c>
      <c r="I75" s="18" t="s">
        <v>127</v>
      </c>
      <c r="J75" s="81">
        <f t="shared" si="10"/>
        <v>1.5132000000000001</v>
      </c>
      <c r="K75" s="136"/>
    </row>
    <row r="76" spans="1:11" s="1" customFormat="1" ht="15" customHeight="1">
      <c r="A76" s="124"/>
      <c r="B76" s="18">
        <v>780</v>
      </c>
      <c r="C76" s="13" t="s">
        <v>30</v>
      </c>
      <c r="D76" s="12" t="s">
        <v>307</v>
      </c>
      <c r="E76" s="17">
        <f t="shared" si="9"/>
        <v>95.823095823095812</v>
      </c>
      <c r="F76" s="17">
        <v>3.7</v>
      </c>
      <c r="G76" s="17">
        <v>2.2000000000000002</v>
      </c>
      <c r="H76" s="17">
        <f t="shared" si="8"/>
        <v>780</v>
      </c>
      <c r="I76" s="18" t="s">
        <v>127</v>
      </c>
      <c r="J76" s="81">
        <f t="shared" si="10"/>
        <v>1.5132000000000001</v>
      </c>
      <c r="K76" s="136"/>
    </row>
    <row r="77" spans="1:11" s="1" customFormat="1" ht="15" customHeight="1">
      <c r="A77" s="124"/>
      <c r="B77" s="18">
        <v>780</v>
      </c>
      <c r="C77" s="13" t="s">
        <v>30</v>
      </c>
      <c r="D77" s="12" t="s">
        <v>308</v>
      </c>
      <c r="E77" s="17">
        <f t="shared" si="9"/>
        <v>95.823095823095812</v>
      </c>
      <c r="F77" s="17">
        <v>3.7</v>
      </c>
      <c r="G77" s="17">
        <v>2.2000000000000002</v>
      </c>
      <c r="H77" s="17">
        <f t="shared" si="8"/>
        <v>780</v>
      </c>
      <c r="I77" s="18" t="s">
        <v>127</v>
      </c>
      <c r="J77" s="81">
        <f t="shared" si="10"/>
        <v>1.5132000000000001</v>
      </c>
      <c r="K77" s="136"/>
    </row>
    <row r="78" spans="1:11" ht="15" customHeight="1">
      <c r="A78" s="124"/>
      <c r="B78" s="18">
        <v>780</v>
      </c>
      <c r="C78" s="13" t="s">
        <v>30</v>
      </c>
      <c r="D78" s="12" t="s">
        <v>309</v>
      </c>
      <c r="E78" s="17">
        <f t="shared" ref="E78" si="11">1/(F78*G78)*B78</f>
        <v>95.823095823095812</v>
      </c>
      <c r="F78" s="17">
        <v>3.7</v>
      </c>
      <c r="G78" s="17">
        <v>2.2000000000000002</v>
      </c>
      <c r="H78" s="17">
        <f t="shared" si="8"/>
        <v>780</v>
      </c>
      <c r="I78" s="18" t="s">
        <v>127</v>
      </c>
      <c r="J78" s="81">
        <f t="shared" si="10"/>
        <v>1.5132000000000001</v>
      </c>
      <c r="K78" s="136"/>
    </row>
    <row r="79" spans="1:11" s="1" customFormat="1" ht="15" customHeight="1">
      <c r="A79" s="124"/>
      <c r="B79" s="18">
        <v>780</v>
      </c>
      <c r="C79" s="13" t="s">
        <v>30</v>
      </c>
      <c r="D79" s="12" t="s">
        <v>310</v>
      </c>
      <c r="E79" s="17">
        <f t="shared" ref="E79:E96" si="12">1/(F79*G79)*B79</f>
        <v>95.823095823095812</v>
      </c>
      <c r="F79" s="17">
        <v>3.7</v>
      </c>
      <c r="G79" s="17">
        <v>2.2000000000000002</v>
      </c>
      <c r="H79" s="17">
        <f t="shared" si="8"/>
        <v>780</v>
      </c>
      <c r="I79" s="18" t="s">
        <v>127</v>
      </c>
      <c r="J79" s="81">
        <f t="shared" si="10"/>
        <v>1.5132000000000001</v>
      </c>
      <c r="K79" s="136"/>
    </row>
    <row r="80" spans="1:11" s="1" customFormat="1" ht="15" customHeight="1">
      <c r="A80" s="124"/>
      <c r="B80" s="18">
        <v>780</v>
      </c>
      <c r="C80" s="13" t="s">
        <v>30</v>
      </c>
      <c r="D80" s="12" t="s">
        <v>311</v>
      </c>
      <c r="E80" s="17">
        <f t="shared" si="12"/>
        <v>95.823095823095812</v>
      </c>
      <c r="F80" s="17">
        <v>3.7</v>
      </c>
      <c r="G80" s="17">
        <v>2.2000000000000002</v>
      </c>
      <c r="H80" s="17">
        <f t="shared" si="8"/>
        <v>780</v>
      </c>
      <c r="I80" s="18" t="s">
        <v>127</v>
      </c>
      <c r="J80" s="81">
        <f t="shared" si="10"/>
        <v>1.5132000000000001</v>
      </c>
      <c r="K80" s="136"/>
    </row>
    <row r="81" spans="1:11" s="1" customFormat="1" ht="15" customHeight="1">
      <c r="A81" s="124"/>
      <c r="B81" s="18">
        <v>780</v>
      </c>
      <c r="C81" s="13" t="s">
        <v>30</v>
      </c>
      <c r="D81" s="12" t="s">
        <v>312</v>
      </c>
      <c r="E81" s="17">
        <f t="shared" si="12"/>
        <v>95.823095823095812</v>
      </c>
      <c r="F81" s="17">
        <v>3.7</v>
      </c>
      <c r="G81" s="17">
        <v>2.2000000000000002</v>
      </c>
      <c r="H81" s="17">
        <f t="shared" si="8"/>
        <v>780</v>
      </c>
      <c r="I81" s="18" t="s">
        <v>127</v>
      </c>
      <c r="J81" s="81">
        <f t="shared" si="10"/>
        <v>1.5132000000000001</v>
      </c>
      <c r="K81" s="136"/>
    </row>
    <row r="82" spans="1:11" s="1" customFormat="1" ht="15" customHeight="1">
      <c r="A82" s="124"/>
      <c r="B82" s="18">
        <v>780</v>
      </c>
      <c r="C82" s="13" t="s">
        <v>30</v>
      </c>
      <c r="D82" s="12" t="s">
        <v>313</v>
      </c>
      <c r="E82" s="17">
        <f t="shared" si="12"/>
        <v>95.823095823095812</v>
      </c>
      <c r="F82" s="17">
        <v>3.7</v>
      </c>
      <c r="G82" s="17">
        <v>2.2000000000000002</v>
      </c>
      <c r="H82" s="17">
        <f t="shared" si="8"/>
        <v>780</v>
      </c>
      <c r="I82" s="18" t="s">
        <v>127</v>
      </c>
      <c r="J82" s="81">
        <f t="shared" si="10"/>
        <v>1.5132000000000001</v>
      </c>
      <c r="K82" s="136"/>
    </row>
    <row r="83" spans="1:11" s="1" customFormat="1" ht="15" customHeight="1">
      <c r="A83" s="124"/>
      <c r="B83" s="18">
        <v>780</v>
      </c>
      <c r="C83" s="13" t="s">
        <v>30</v>
      </c>
      <c r="D83" s="12" t="s">
        <v>314</v>
      </c>
      <c r="E83" s="17">
        <f t="shared" si="12"/>
        <v>95.823095823095812</v>
      </c>
      <c r="F83" s="17">
        <v>3.7</v>
      </c>
      <c r="G83" s="17">
        <v>2.2000000000000002</v>
      </c>
      <c r="H83" s="17">
        <f t="shared" si="8"/>
        <v>780</v>
      </c>
      <c r="I83" s="18" t="s">
        <v>127</v>
      </c>
      <c r="J83" s="81">
        <f t="shared" si="10"/>
        <v>1.5132000000000001</v>
      </c>
      <c r="K83" s="136"/>
    </row>
    <row r="84" spans="1:11" s="1" customFormat="1" ht="15" customHeight="1">
      <c r="A84" s="124"/>
      <c r="B84" s="18">
        <v>780</v>
      </c>
      <c r="C84" s="13" t="s">
        <v>30</v>
      </c>
      <c r="D84" s="12" t="s">
        <v>315</v>
      </c>
      <c r="E84" s="17">
        <f t="shared" si="12"/>
        <v>95.823095823095812</v>
      </c>
      <c r="F84" s="17">
        <v>3.7</v>
      </c>
      <c r="G84" s="17">
        <v>2.2000000000000002</v>
      </c>
      <c r="H84" s="17">
        <f t="shared" si="8"/>
        <v>780</v>
      </c>
      <c r="I84" s="18" t="s">
        <v>127</v>
      </c>
      <c r="J84" s="81">
        <f t="shared" si="10"/>
        <v>1.5132000000000001</v>
      </c>
      <c r="K84" s="136"/>
    </row>
    <row r="85" spans="1:11" s="1" customFormat="1" ht="15" customHeight="1">
      <c r="A85" s="124"/>
      <c r="B85" s="18">
        <v>780</v>
      </c>
      <c r="C85" s="13" t="s">
        <v>30</v>
      </c>
      <c r="D85" s="12" t="s">
        <v>316</v>
      </c>
      <c r="E85" s="17">
        <f t="shared" si="12"/>
        <v>95.823095823095812</v>
      </c>
      <c r="F85" s="17">
        <v>3.7</v>
      </c>
      <c r="G85" s="17">
        <v>2.2000000000000002</v>
      </c>
      <c r="H85" s="17">
        <f t="shared" si="8"/>
        <v>780</v>
      </c>
      <c r="I85" s="18" t="s">
        <v>127</v>
      </c>
      <c r="J85" s="81">
        <f t="shared" si="10"/>
        <v>1.5132000000000001</v>
      </c>
      <c r="K85" s="136"/>
    </row>
    <row r="86" spans="1:11" s="1" customFormat="1" ht="15" customHeight="1">
      <c r="A86" s="124"/>
      <c r="B86" s="187"/>
      <c r="C86" s="197"/>
      <c r="D86" s="189"/>
      <c r="E86" s="187"/>
      <c r="F86" s="187"/>
      <c r="G86" s="187"/>
      <c r="H86" s="187"/>
      <c r="I86" s="187"/>
      <c r="J86" s="187"/>
      <c r="K86" s="137"/>
    </row>
    <row r="87" spans="1:11" s="1" customFormat="1" ht="15" customHeight="1">
      <c r="A87" s="124"/>
      <c r="B87" s="18">
        <v>780</v>
      </c>
      <c r="C87" s="13" t="s">
        <v>30</v>
      </c>
      <c r="D87" s="12" t="s">
        <v>317</v>
      </c>
      <c r="E87" s="17">
        <f t="shared" si="12"/>
        <v>95.823095823095812</v>
      </c>
      <c r="F87" s="17">
        <v>3.7</v>
      </c>
      <c r="G87" s="17">
        <v>2.2000000000000002</v>
      </c>
      <c r="H87" s="17">
        <f t="shared" si="8"/>
        <v>780</v>
      </c>
      <c r="I87" s="18" t="s">
        <v>127</v>
      </c>
      <c r="J87" s="18">
        <f>B87*194/100000</f>
        <v>1.5132000000000001</v>
      </c>
      <c r="K87" s="107" t="s">
        <v>365</v>
      </c>
    </row>
    <row r="88" spans="1:11" s="1" customFormat="1" ht="15" customHeight="1">
      <c r="A88" s="124"/>
      <c r="B88" s="18">
        <v>780</v>
      </c>
      <c r="C88" s="13" t="s">
        <v>30</v>
      </c>
      <c r="D88" s="12" t="s">
        <v>318</v>
      </c>
      <c r="E88" s="17">
        <f t="shared" si="12"/>
        <v>95.823095823095812</v>
      </c>
      <c r="F88" s="17">
        <v>3.7</v>
      </c>
      <c r="G88" s="17">
        <v>2.2000000000000002</v>
      </c>
      <c r="H88" s="17">
        <f t="shared" si="8"/>
        <v>780</v>
      </c>
      <c r="I88" s="18" t="s">
        <v>127</v>
      </c>
      <c r="J88" s="81">
        <f t="shared" ref="J88:J103" si="13">B88*194/100000</f>
        <v>1.5132000000000001</v>
      </c>
      <c r="K88" s="107"/>
    </row>
    <row r="89" spans="1:11" s="1" customFormat="1" ht="15" customHeight="1">
      <c r="A89" s="124"/>
      <c r="B89" s="18">
        <v>780</v>
      </c>
      <c r="C89" s="13" t="s">
        <v>30</v>
      </c>
      <c r="D89" s="12" t="s">
        <v>319</v>
      </c>
      <c r="E89" s="17">
        <f t="shared" ref="E89" si="14">1/(F89*G89)*B89</f>
        <v>95.823095823095812</v>
      </c>
      <c r="F89" s="17">
        <v>3.7</v>
      </c>
      <c r="G89" s="17">
        <v>2.2000000000000002</v>
      </c>
      <c r="H89" s="17">
        <f t="shared" si="8"/>
        <v>780</v>
      </c>
      <c r="I89" s="18" t="s">
        <v>127</v>
      </c>
      <c r="J89" s="81">
        <f t="shared" si="13"/>
        <v>1.5132000000000001</v>
      </c>
      <c r="K89" s="107"/>
    </row>
    <row r="90" spans="1:11" s="1" customFormat="1" ht="15" customHeight="1">
      <c r="A90" s="124"/>
      <c r="B90" s="18">
        <v>780</v>
      </c>
      <c r="C90" s="13" t="s">
        <v>30</v>
      </c>
      <c r="D90" s="12" t="s">
        <v>262</v>
      </c>
      <c r="E90" s="17">
        <f t="shared" si="12"/>
        <v>95.823095823095812</v>
      </c>
      <c r="F90" s="17">
        <v>3.7</v>
      </c>
      <c r="G90" s="17">
        <v>2.2000000000000002</v>
      </c>
      <c r="H90" s="17">
        <f t="shared" si="8"/>
        <v>780</v>
      </c>
      <c r="I90" s="18" t="s">
        <v>127</v>
      </c>
      <c r="J90" s="81">
        <f t="shared" si="13"/>
        <v>1.5132000000000001</v>
      </c>
      <c r="K90" s="107"/>
    </row>
    <row r="91" spans="1:11" s="1" customFormat="1" ht="15" customHeight="1">
      <c r="A91" s="124"/>
      <c r="B91" s="18">
        <v>780</v>
      </c>
      <c r="C91" s="13" t="s">
        <v>30</v>
      </c>
      <c r="D91" s="12" t="s">
        <v>320</v>
      </c>
      <c r="E91" s="17">
        <f t="shared" si="12"/>
        <v>95.823095823095812</v>
      </c>
      <c r="F91" s="17">
        <v>3.7</v>
      </c>
      <c r="G91" s="17">
        <v>2.2000000000000002</v>
      </c>
      <c r="H91" s="17">
        <f t="shared" si="8"/>
        <v>780</v>
      </c>
      <c r="I91" s="18" t="s">
        <v>127</v>
      </c>
      <c r="J91" s="81">
        <f t="shared" si="13"/>
        <v>1.5132000000000001</v>
      </c>
      <c r="K91" s="107"/>
    </row>
    <row r="92" spans="1:11" ht="15" customHeight="1">
      <c r="A92" s="124"/>
      <c r="B92" s="18">
        <v>780</v>
      </c>
      <c r="C92" s="13" t="s">
        <v>30</v>
      </c>
      <c r="D92" s="12" t="s">
        <v>321</v>
      </c>
      <c r="E92" s="17">
        <f t="shared" si="12"/>
        <v>95.823095823095812</v>
      </c>
      <c r="F92" s="17">
        <v>3.7</v>
      </c>
      <c r="G92" s="17">
        <v>2.2000000000000002</v>
      </c>
      <c r="H92" s="17">
        <f t="shared" si="8"/>
        <v>780</v>
      </c>
      <c r="I92" s="18" t="s">
        <v>127</v>
      </c>
      <c r="J92" s="81">
        <f t="shared" si="13"/>
        <v>1.5132000000000001</v>
      </c>
      <c r="K92" s="107"/>
    </row>
    <row r="93" spans="1:11" ht="15" customHeight="1">
      <c r="A93" s="124"/>
      <c r="B93" s="18">
        <v>780</v>
      </c>
      <c r="C93" s="13" t="s">
        <v>30</v>
      </c>
      <c r="D93" s="16" t="s">
        <v>322</v>
      </c>
      <c r="E93" s="17">
        <f t="shared" si="12"/>
        <v>95.823095823095812</v>
      </c>
      <c r="F93" s="17">
        <v>3.7</v>
      </c>
      <c r="G93" s="17">
        <v>2.2000000000000002</v>
      </c>
      <c r="H93" s="17">
        <f t="shared" si="8"/>
        <v>780</v>
      </c>
      <c r="I93" s="18" t="s">
        <v>127</v>
      </c>
      <c r="J93" s="81">
        <f t="shared" si="13"/>
        <v>1.5132000000000001</v>
      </c>
      <c r="K93" s="107"/>
    </row>
    <row r="94" spans="1:11" ht="15" customHeight="1">
      <c r="A94" s="124"/>
      <c r="B94" s="18">
        <v>780</v>
      </c>
      <c r="C94" s="13" t="s">
        <v>30</v>
      </c>
      <c r="D94" s="12" t="s">
        <v>281</v>
      </c>
      <c r="E94" s="17">
        <f t="shared" si="12"/>
        <v>95.823095823095812</v>
      </c>
      <c r="F94" s="17">
        <v>3.7</v>
      </c>
      <c r="G94" s="17">
        <v>2.2000000000000002</v>
      </c>
      <c r="H94" s="17">
        <f t="shared" si="8"/>
        <v>780</v>
      </c>
      <c r="I94" s="18" t="s">
        <v>127</v>
      </c>
      <c r="J94" s="81">
        <f t="shared" si="13"/>
        <v>1.5132000000000001</v>
      </c>
      <c r="K94" s="107"/>
    </row>
    <row r="95" spans="1:11" ht="15" customHeight="1">
      <c r="A95" s="124"/>
      <c r="B95" s="18">
        <v>780</v>
      </c>
      <c r="C95" s="13" t="s">
        <v>30</v>
      </c>
      <c r="D95" s="16" t="s">
        <v>323</v>
      </c>
      <c r="E95" s="17">
        <f t="shared" si="12"/>
        <v>95.823095823095812</v>
      </c>
      <c r="F95" s="17">
        <v>3.7</v>
      </c>
      <c r="G95" s="17">
        <v>2.2000000000000002</v>
      </c>
      <c r="H95" s="17">
        <f t="shared" si="8"/>
        <v>780</v>
      </c>
      <c r="I95" s="18" t="s">
        <v>127</v>
      </c>
      <c r="J95" s="81">
        <f t="shared" si="13"/>
        <v>1.5132000000000001</v>
      </c>
      <c r="K95" s="107"/>
    </row>
    <row r="96" spans="1:11" ht="15" customHeight="1">
      <c r="A96" s="124"/>
      <c r="B96" s="18">
        <v>780</v>
      </c>
      <c r="C96" s="13" t="s">
        <v>30</v>
      </c>
      <c r="D96" s="12" t="s">
        <v>271</v>
      </c>
      <c r="E96" s="17">
        <f t="shared" si="12"/>
        <v>95.823095823095812</v>
      </c>
      <c r="F96" s="17">
        <v>3.7</v>
      </c>
      <c r="G96" s="17">
        <v>2.2000000000000002</v>
      </c>
      <c r="H96" s="17">
        <f t="shared" si="8"/>
        <v>780</v>
      </c>
      <c r="I96" s="18" t="s">
        <v>127</v>
      </c>
      <c r="J96" s="81">
        <f t="shared" si="13"/>
        <v>1.5132000000000001</v>
      </c>
      <c r="K96" s="107"/>
    </row>
    <row r="97" spans="1:11" s="1" customFormat="1" ht="15" customHeight="1">
      <c r="A97" s="124"/>
      <c r="B97" s="18">
        <v>780</v>
      </c>
      <c r="C97" s="13" t="s">
        <v>30</v>
      </c>
      <c r="D97" s="12" t="s">
        <v>324</v>
      </c>
      <c r="E97" s="17">
        <f t="shared" ref="E97:E103" si="15">1/(F97*G97)*B97</f>
        <v>95.823095823095812</v>
      </c>
      <c r="F97" s="17">
        <v>3.7</v>
      </c>
      <c r="G97" s="17">
        <v>2.2000000000000002</v>
      </c>
      <c r="H97" s="17">
        <f t="shared" si="8"/>
        <v>780</v>
      </c>
      <c r="I97" s="18" t="s">
        <v>127</v>
      </c>
      <c r="J97" s="81">
        <f t="shared" si="13"/>
        <v>1.5132000000000001</v>
      </c>
      <c r="K97" s="107"/>
    </row>
    <row r="98" spans="1:11" s="1" customFormat="1" ht="15" customHeight="1">
      <c r="A98" s="124"/>
      <c r="B98" s="18">
        <v>780</v>
      </c>
      <c r="C98" s="13" t="s">
        <v>30</v>
      </c>
      <c r="D98" s="12" t="s">
        <v>325</v>
      </c>
      <c r="E98" s="17">
        <f t="shared" si="15"/>
        <v>95.823095823095812</v>
      </c>
      <c r="F98" s="17">
        <v>3.7</v>
      </c>
      <c r="G98" s="17">
        <v>2.2000000000000002</v>
      </c>
      <c r="H98" s="17">
        <f t="shared" si="8"/>
        <v>780</v>
      </c>
      <c r="I98" s="18" t="s">
        <v>127</v>
      </c>
      <c r="J98" s="81">
        <f t="shared" si="13"/>
        <v>1.5132000000000001</v>
      </c>
      <c r="K98" s="107"/>
    </row>
    <row r="99" spans="1:11" s="1" customFormat="1" ht="15" customHeight="1">
      <c r="A99" s="124"/>
      <c r="B99" s="18">
        <v>780</v>
      </c>
      <c r="C99" s="13" t="s">
        <v>30</v>
      </c>
      <c r="D99" s="12" t="s">
        <v>299</v>
      </c>
      <c r="E99" s="17">
        <f t="shared" si="15"/>
        <v>95.823095823095812</v>
      </c>
      <c r="F99" s="17">
        <v>3.7</v>
      </c>
      <c r="G99" s="17">
        <v>2.2000000000000002</v>
      </c>
      <c r="H99" s="17">
        <f t="shared" si="8"/>
        <v>780</v>
      </c>
      <c r="I99" s="18" t="s">
        <v>127</v>
      </c>
      <c r="J99" s="81">
        <f t="shared" si="13"/>
        <v>1.5132000000000001</v>
      </c>
      <c r="K99" s="107"/>
    </row>
    <row r="100" spans="1:11" s="1" customFormat="1" ht="15" customHeight="1">
      <c r="A100" s="124"/>
      <c r="B100" s="18">
        <v>780</v>
      </c>
      <c r="C100" s="13" t="s">
        <v>30</v>
      </c>
      <c r="D100" s="12" t="s">
        <v>326</v>
      </c>
      <c r="E100" s="17">
        <f t="shared" si="15"/>
        <v>95.823095823095812</v>
      </c>
      <c r="F100" s="17">
        <v>3.7</v>
      </c>
      <c r="G100" s="17">
        <v>2.2000000000000002</v>
      </c>
      <c r="H100" s="17">
        <f t="shared" si="8"/>
        <v>780</v>
      </c>
      <c r="I100" s="18" t="s">
        <v>127</v>
      </c>
      <c r="J100" s="81">
        <f t="shared" si="13"/>
        <v>1.5132000000000001</v>
      </c>
      <c r="K100" s="107"/>
    </row>
    <row r="101" spans="1:11" s="1" customFormat="1" ht="15" customHeight="1">
      <c r="A101" s="124"/>
      <c r="B101" s="18">
        <v>780</v>
      </c>
      <c r="C101" s="13" t="s">
        <v>30</v>
      </c>
      <c r="D101" s="12" t="s">
        <v>327</v>
      </c>
      <c r="E101" s="17">
        <f t="shared" si="15"/>
        <v>95.823095823095812</v>
      </c>
      <c r="F101" s="17">
        <v>3.7</v>
      </c>
      <c r="G101" s="17">
        <v>2.2000000000000002</v>
      </c>
      <c r="H101" s="17">
        <f t="shared" si="8"/>
        <v>780</v>
      </c>
      <c r="I101" s="18" t="s">
        <v>127</v>
      </c>
      <c r="J101" s="81">
        <f t="shared" si="13"/>
        <v>1.5132000000000001</v>
      </c>
      <c r="K101" s="107"/>
    </row>
    <row r="102" spans="1:11" s="1" customFormat="1" ht="15" customHeight="1">
      <c r="A102" s="124"/>
      <c r="B102" s="18">
        <v>780</v>
      </c>
      <c r="C102" s="13" t="s">
        <v>30</v>
      </c>
      <c r="D102" s="12" t="s">
        <v>328</v>
      </c>
      <c r="E102" s="17">
        <f t="shared" si="15"/>
        <v>95.823095823095812</v>
      </c>
      <c r="F102" s="17">
        <v>3.7</v>
      </c>
      <c r="G102" s="17">
        <v>2.2000000000000002</v>
      </c>
      <c r="H102" s="17">
        <f t="shared" si="8"/>
        <v>780</v>
      </c>
      <c r="I102" s="18" t="s">
        <v>127</v>
      </c>
      <c r="J102" s="81">
        <f t="shared" si="13"/>
        <v>1.5132000000000001</v>
      </c>
      <c r="K102" s="107"/>
    </row>
    <row r="103" spans="1:11" s="1" customFormat="1" ht="15" customHeight="1">
      <c r="A103" s="125"/>
      <c r="B103" s="18">
        <v>780</v>
      </c>
      <c r="C103" s="13" t="s">
        <v>30</v>
      </c>
      <c r="D103" s="12" t="s">
        <v>329</v>
      </c>
      <c r="E103" s="17">
        <f t="shared" si="15"/>
        <v>95.823095823095812</v>
      </c>
      <c r="F103" s="17">
        <v>3.7</v>
      </c>
      <c r="G103" s="17">
        <v>2.2000000000000002</v>
      </c>
      <c r="H103" s="17">
        <f t="shared" si="8"/>
        <v>780</v>
      </c>
      <c r="I103" s="18" t="s">
        <v>127</v>
      </c>
      <c r="J103" s="81">
        <f t="shared" si="13"/>
        <v>1.5132000000000001</v>
      </c>
      <c r="K103" s="107"/>
    </row>
    <row r="104" spans="1:11" s="1" customFormat="1" ht="15" customHeight="1">
      <c r="A104" s="56"/>
      <c r="B104" s="190"/>
      <c r="C104" s="198"/>
      <c r="D104" s="199"/>
      <c r="E104" s="190"/>
      <c r="F104" s="190"/>
      <c r="G104" s="190"/>
      <c r="H104" s="190"/>
      <c r="I104" s="190"/>
      <c r="J104" s="200"/>
      <c r="K104" s="107"/>
    </row>
    <row r="105" spans="1:11" ht="15" customHeight="1">
      <c r="A105" s="59" t="s">
        <v>32</v>
      </c>
      <c r="B105" s="201"/>
      <c r="C105" s="201"/>
      <c r="D105" s="201"/>
      <c r="E105" s="201"/>
      <c r="F105" s="201"/>
      <c r="G105" s="201"/>
      <c r="H105" s="201"/>
      <c r="I105" s="201"/>
      <c r="J105" s="202"/>
      <c r="K105" s="82"/>
    </row>
    <row r="106" spans="1:11" ht="15" customHeight="1">
      <c r="A106" s="112" t="s">
        <v>96</v>
      </c>
      <c r="B106" s="194">
        <v>100</v>
      </c>
      <c r="C106" s="203" t="s">
        <v>33</v>
      </c>
      <c r="D106" s="37" t="s">
        <v>45</v>
      </c>
      <c r="E106" s="195">
        <v>200</v>
      </c>
      <c r="F106" s="195">
        <v>1</v>
      </c>
      <c r="G106" s="195">
        <v>1</v>
      </c>
      <c r="H106" s="195">
        <f>G106*F106*E106</f>
        <v>200</v>
      </c>
      <c r="I106" s="194" t="s">
        <v>127</v>
      </c>
      <c r="J106" s="194">
        <f>100000/100000</f>
        <v>1</v>
      </c>
      <c r="K106" s="86" t="s">
        <v>366</v>
      </c>
    </row>
    <row r="107" spans="1:11" ht="24.75" customHeight="1">
      <c r="A107" s="113"/>
      <c r="B107" s="187">
        <v>10</v>
      </c>
      <c r="C107" s="204" t="s">
        <v>34</v>
      </c>
      <c r="D107" s="205" t="s">
        <v>46</v>
      </c>
      <c r="E107" s="187">
        <v>2</v>
      </c>
      <c r="F107" s="187">
        <v>1.2</v>
      </c>
      <c r="G107" s="187">
        <v>1.5</v>
      </c>
      <c r="H107" s="195">
        <f t="shared" ref="H107:H113" si="16">G107*F107*E107</f>
        <v>3.5999999999999996</v>
      </c>
      <c r="I107" s="194" t="s">
        <v>127</v>
      </c>
      <c r="J107" s="187">
        <f>121940/100000</f>
        <v>1.2194</v>
      </c>
      <c r="K107" s="86" t="s">
        <v>367</v>
      </c>
    </row>
    <row r="108" spans="1:11" ht="15" customHeight="1">
      <c r="A108" s="112" t="s">
        <v>98</v>
      </c>
      <c r="B108" s="206">
        <v>150</v>
      </c>
      <c r="C108" s="207" t="s">
        <v>332</v>
      </c>
      <c r="D108" s="37" t="s">
        <v>107</v>
      </c>
      <c r="E108" s="195">
        <v>65</v>
      </c>
      <c r="F108" s="195">
        <v>3</v>
      </c>
      <c r="G108" s="195">
        <v>0.1</v>
      </c>
      <c r="H108" s="195">
        <f t="shared" si="16"/>
        <v>19.500000000000004</v>
      </c>
      <c r="I108" s="194" t="s">
        <v>127</v>
      </c>
      <c r="J108" s="194">
        <f>229100/100000</f>
        <v>2.2909999999999999</v>
      </c>
      <c r="K108" s="85" t="s">
        <v>368</v>
      </c>
    </row>
    <row r="109" spans="1:11" ht="28.5" customHeight="1">
      <c r="A109" s="112"/>
      <c r="B109" s="194">
        <v>120</v>
      </c>
      <c r="C109" s="203" t="s">
        <v>35</v>
      </c>
      <c r="D109" s="37" t="s">
        <v>47</v>
      </c>
      <c r="E109" s="195">
        <v>45</v>
      </c>
      <c r="F109" s="195">
        <v>3.7</v>
      </c>
      <c r="G109" s="195">
        <v>0.15</v>
      </c>
      <c r="H109" s="195">
        <f t="shared" si="16"/>
        <v>24.975000000000001</v>
      </c>
      <c r="I109" s="194" t="s">
        <v>127</v>
      </c>
      <c r="J109" s="194">
        <f>173280/100000</f>
        <v>1.7327999999999999</v>
      </c>
      <c r="K109" s="87" t="s">
        <v>369</v>
      </c>
    </row>
    <row r="110" spans="1:11" s="1" customFormat="1" ht="15" customHeight="1">
      <c r="A110" s="114" t="s">
        <v>36</v>
      </c>
      <c r="B110" s="194">
        <v>2615</v>
      </c>
      <c r="C110" s="23" t="s">
        <v>49</v>
      </c>
      <c r="D110" s="37" t="s">
        <v>47</v>
      </c>
      <c r="E110" s="195">
        <f t="shared" ref="E110" si="17">1/(F110*G110)*B110</f>
        <v>174.33333333333334</v>
      </c>
      <c r="F110" s="195">
        <v>15</v>
      </c>
      <c r="G110" s="195">
        <v>1</v>
      </c>
      <c r="H110" s="195">
        <f t="shared" si="16"/>
        <v>2615</v>
      </c>
      <c r="I110" s="194" t="s">
        <v>127</v>
      </c>
      <c r="J110" s="194">
        <f>B110*194/100000</f>
        <v>5.0731000000000002</v>
      </c>
      <c r="K110" s="85" t="s">
        <v>370</v>
      </c>
    </row>
    <row r="111" spans="1:11" ht="15" customHeight="1">
      <c r="A111" s="113"/>
      <c r="B111" s="194">
        <v>27682</v>
      </c>
      <c r="C111" s="23" t="s">
        <v>48</v>
      </c>
      <c r="D111" s="37" t="s">
        <v>47</v>
      </c>
      <c r="E111" s="195">
        <f t="shared" ref="E111" si="18">1/(F111*G111)*B111</f>
        <v>230.68333333333334</v>
      </c>
      <c r="F111" s="195">
        <v>40</v>
      </c>
      <c r="G111" s="195">
        <v>3</v>
      </c>
      <c r="H111" s="195">
        <f t="shared" si="16"/>
        <v>27682</v>
      </c>
      <c r="I111" s="194" t="s">
        <v>127</v>
      </c>
      <c r="J111" s="194">
        <f>B111*194/100000</f>
        <v>53.70308</v>
      </c>
      <c r="K111" s="86" t="s">
        <v>371</v>
      </c>
    </row>
    <row r="112" spans="1:11" ht="15" customHeight="1">
      <c r="A112" s="109" t="s">
        <v>114</v>
      </c>
      <c r="B112" s="194">
        <v>120</v>
      </c>
      <c r="C112" s="208" t="s">
        <v>173</v>
      </c>
      <c r="D112" s="37" t="s">
        <v>99</v>
      </c>
      <c r="E112" s="195">
        <v>15</v>
      </c>
      <c r="F112" s="195">
        <v>1.2</v>
      </c>
      <c r="G112" s="195">
        <v>2.2000000000000002</v>
      </c>
      <c r="H112" s="195">
        <f t="shared" si="16"/>
        <v>39.6</v>
      </c>
      <c r="I112" s="194" t="s">
        <v>127</v>
      </c>
      <c r="J112" s="194">
        <f>259740/100000</f>
        <v>2.5973999999999999</v>
      </c>
      <c r="K112" s="85" t="s">
        <v>372</v>
      </c>
    </row>
    <row r="113" spans="1:12" s="1" customFormat="1" ht="15" customHeight="1">
      <c r="A113" s="109"/>
      <c r="B113" s="194">
        <v>100</v>
      </c>
      <c r="C113" s="209" t="s">
        <v>330</v>
      </c>
      <c r="D113" s="37" t="s">
        <v>331</v>
      </c>
      <c r="E113" s="195">
        <v>50</v>
      </c>
      <c r="F113" s="195">
        <v>1</v>
      </c>
      <c r="G113" s="195">
        <v>2</v>
      </c>
      <c r="H113" s="195">
        <f t="shared" si="16"/>
        <v>100</v>
      </c>
      <c r="I113" s="194" t="s">
        <v>127</v>
      </c>
      <c r="J113" s="194">
        <f>244090/100000</f>
        <v>2.4409000000000001</v>
      </c>
      <c r="K113" s="85" t="s">
        <v>373</v>
      </c>
    </row>
    <row r="114" spans="1:12" s="1" customFormat="1" ht="15" customHeight="1">
      <c r="A114" s="76"/>
      <c r="B114" s="210"/>
      <c r="C114" s="211"/>
      <c r="D114" s="212"/>
      <c r="E114" s="213"/>
      <c r="F114" s="213"/>
      <c r="G114" s="213"/>
      <c r="H114" s="213"/>
      <c r="I114" s="213"/>
      <c r="J114" s="214">
        <f>SUM(J11:J113)</f>
        <v>265.78000000000037</v>
      </c>
    </row>
    <row r="115" spans="1:12" ht="15" customHeight="1">
      <c r="A115" s="1"/>
      <c r="B115" s="214">
        <f>SUM(B11:B113)</f>
        <v>123300.02</v>
      </c>
      <c r="C115" s="210"/>
      <c r="D115" s="210"/>
      <c r="E115" s="210"/>
      <c r="F115" s="210"/>
      <c r="G115" s="210"/>
      <c r="H115" s="210"/>
      <c r="I115" s="210"/>
      <c r="J115" s="215">
        <f>E4/100000</f>
        <v>265.77999999999997</v>
      </c>
    </row>
    <row r="116" spans="1:12" ht="15" customHeight="1">
      <c r="A116" s="1"/>
      <c r="B116" s="24">
        <f>B3*100</f>
        <v>123300</v>
      </c>
      <c r="C116" s="1"/>
      <c r="D116" s="1"/>
      <c r="E116" s="1"/>
      <c r="F116" s="1"/>
      <c r="G116" s="1"/>
      <c r="J116" s="27">
        <f>E2/100000</f>
        <v>239.202</v>
      </c>
      <c r="L116" s="48"/>
    </row>
    <row r="117" spans="1:12" ht="15" customHeight="1">
      <c r="A117" s="8" t="s">
        <v>38</v>
      </c>
      <c r="B117" s="1"/>
      <c r="C117" s="25">
        <f>E2/100000</f>
        <v>239.202</v>
      </c>
      <c r="D117" s="4" t="s">
        <v>39</v>
      </c>
      <c r="E117" s="1"/>
      <c r="F117" s="1"/>
      <c r="G117" s="1"/>
      <c r="J117" s="1"/>
    </row>
    <row r="118" spans="1:12" ht="15" customHeight="1">
      <c r="A118" s="8" t="s">
        <v>40</v>
      </c>
      <c r="B118" s="1"/>
      <c r="C118" s="25">
        <f>C117*(1/9)</f>
        <v>26.577999999999999</v>
      </c>
      <c r="D118" s="4" t="s">
        <v>39</v>
      </c>
      <c r="E118" s="1"/>
      <c r="F118" s="1"/>
      <c r="G118" s="1"/>
      <c r="J118" s="1"/>
    </row>
    <row r="119" spans="1:12" ht="15" customHeight="1">
      <c r="A119" s="4" t="s">
        <v>108</v>
      </c>
      <c r="B119" s="1"/>
      <c r="C119" s="1"/>
      <c r="D119" s="1"/>
      <c r="E119" s="1"/>
      <c r="F119" s="1"/>
      <c r="G119" s="1"/>
      <c r="J119" s="58"/>
    </row>
    <row r="120" spans="1:12" ht="15" customHeight="1"/>
    <row r="121" spans="1:12" ht="15" customHeight="1"/>
    <row r="122" spans="1:12" ht="15" customHeight="1"/>
    <row r="123" spans="1:12" ht="15" customHeight="1"/>
    <row r="124" spans="1:12" ht="15" customHeight="1"/>
    <row r="125" spans="1:12" ht="15" customHeight="1"/>
    <row r="126" spans="1:12" ht="15" customHeight="1"/>
  </sheetData>
  <mergeCells count="37">
    <mergeCell ref="K67:K86"/>
    <mergeCell ref="K87:K104"/>
    <mergeCell ref="A36:A53"/>
    <mergeCell ref="A67:A73"/>
    <mergeCell ref="E2:G2"/>
    <mergeCell ref="E3:G3"/>
    <mergeCell ref="E4:G4"/>
    <mergeCell ref="E5:G5"/>
    <mergeCell ref="E6:G6"/>
    <mergeCell ref="B56:B61"/>
    <mergeCell ref="E56:E61"/>
    <mergeCell ref="F56:F61"/>
    <mergeCell ref="G56:G61"/>
    <mergeCell ref="K7:K8"/>
    <mergeCell ref="H56:H61"/>
    <mergeCell ref="I56:I61"/>
    <mergeCell ref="A112:A113"/>
    <mergeCell ref="J7:J8"/>
    <mergeCell ref="A106:A107"/>
    <mergeCell ref="A108:A109"/>
    <mergeCell ref="A110:A111"/>
    <mergeCell ref="A65:A66"/>
    <mergeCell ref="A15:A16"/>
    <mergeCell ref="A10:A11"/>
    <mergeCell ref="A7:A8"/>
    <mergeCell ref="B7:B8"/>
    <mergeCell ref="C7:C8"/>
    <mergeCell ref="D7:D8"/>
    <mergeCell ref="A74:A103"/>
    <mergeCell ref="E7:I8"/>
    <mergeCell ref="A56:A63"/>
    <mergeCell ref="A17:A34"/>
    <mergeCell ref="J56:J61"/>
    <mergeCell ref="C56:C61"/>
    <mergeCell ref="K17:K35"/>
    <mergeCell ref="K36:K53"/>
    <mergeCell ref="K56:K6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K68"/>
  <sheetViews>
    <sheetView topLeftCell="A28" workbookViewId="0">
      <selection activeCell="M23" sqref="M23"/>
    </sheetView>
  </sheetViews>
  <sheetFormatPr defaultColWidth="9.140625" defaultRowHeight="15"/>
  <cols>
    <col min="1" max="1" width="16.5703125" style="28" customWidth="1"/>
    <col min="2" max="2" width="9.28515625" style="28" bestFit="1" customWidth="1"/>
    <col min="3" max="3" width="18.7109375" style="28" customWidth="1"/>
    <col min="4" max="4" width="22.5703125" style="28" customWidth="1"/>
    <col min="5" max="5" width="5.7109375" style="28" customWidth="1"/>
    <col min="6" max="6" width="4.140625" style="28" customWidth="1"/>
    <col min="7" max="7" width="4.5703125" style="28" customWidth="1"/>
    <col min="8" max="8" width="5.28515625" style="28" customWidth="1"/>
    <col min="9" max="9" width="5.140625" style="28" customWidth="1"/>
    <col min="10" max="10" width="15.5703125" style="28" bestFit="1" customWidth="1"/>
    <col min="11" max="11" width="19.42578125" style="28" bestFit="1" customWidth="1"/>
    <col min="12" max="16384" width="9.140625" style="28"/>
  </cols>
  <sheetData>
    <row r="1" spans="1:11">
      <c r="A1" s="10" t="s">
        <v>231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</row>
    <row r="2" spans="1:11">
      <c r="A2" s="2"/>
      <c r="B2" s="6"/>
      <c r="C2" s="3"/>
      <c r="D2" s="3" t="s">
        <v>0</v>
      </c>
      <c r="E2" s="138">
        <f>B3*194*100</f>
        <v>8380800</v>
      </c>
      <c r="F2" s="138"/>
      <c r="G2" s="138"/>
      <c r="H2" s="68"/>
      <c r="I2" s="68"/>
      <c r="J2" s="9"/>
      <c r="K2" s="1"/>
    </row>
    <row r="3" spans="1:11">
      <c r="A3" s="10" t="s">
        <v>1</v>
      </c>
      <c r="B3" s="6">
        <v>432</v>
      </c>
      <c r="C3" s="3"/>
      <c r="D3" s="3" t="s">
        <v>2</v>
      </c>
      <c r="E3" s="139">
        <f>E2*1/9</f>
        <v>931200</v>
      </c>
      <c r="F3" s="139"/>
      <c r="G3" s="139"/>
      <c r="H3" s="69"/>
      <c r="I3" s="69"/>
      <c r="J3" s="21"/>
      <c r="K3" s="1"/>
    </row>
    <row r="4" spans="1:11">
      <c r="A4" s="7"/>
      <c r="B4" s="5"/>
      <c r="C4" s="3"/>
      <c r="D4" s="3" t="s">
        <v>3</v>
      </c>
      <c r="E4" s="139">
        <f>SUM(E2:E3)</f>
        <v>9312000</v>
      </c>
      <c r="F4" s="139"/>
      <c r="G4" s="139"/>
      <c r="H4" s="69"/>
      <c r="I4" s="69"/>
      <c r="J4" s="9"/>
      <c r="K4" s="1"/>
    </row>
    <row r="5" spans="1:11">
      <c r="A5" s="7"/>
      <c r="B5" s="5"/>
      <c r="C5" s="3"/>
      <c r="D5" s="3" t="s">
        <v>4</v>
      </c>
      <c r="E5" s="139">
        <f>E4*0.06</f>
        <v>558720</v>
      </c>
      <c r="F5" s="139"/>
      <c r="G5" s="139"/>
      <c r="H5" s="69"/>
      <c r="I5" s="69"/>
      <c r="J5" s="9"/>
      <c r="K5" s="1"/>
    </row>
    <row r="6" spans="1:11">
      <c r="A6" s="7"/>
      <c r="B6" s="5"/>
      <c r="C6" s="3"/>
      <c r="D6" s="3" t="s">
        <v>5</v>
      </c>
      <c r="E6" s="140">
        <f>SUM(E4:E5)</f>
        <v>9870720</v>
      </c>
      <c r="F6" s="140"/>
      <c r="G6" s="140"/>
      <c r="H6" s="57"/>
      <c r="I6" s="57"/>
      <c r="J6" s="9"/>
      <c r="K6" s="1"/>
    </row>
    <row r="7" spans="1:1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574</v>
      </c>
      <c r="K7" s="162" t="s">
        <v>119</v>
      </c>
    </row>
    <row r="8" spans="1:11">
      <c r="A8" s="117"/>
      <c r="B8" s="118"/>
      <c r="C8" s="120"/>
      <c r="D8" s="122"/>
      <c r="E8" s="129"/>
      <c r="F8" s="130"/>
      <c r="G8" s="130"/>
      <c r="H8" s="130"/>
      <c r="I8" s="131"/>
      <c r="J8" s="149"/>
      <c r="K8" s="162"/>
    </row>
    <row r="9" spans="1:11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111"/>
      <c r="K9" s="162"/>
    </row>
    <row r="10" spans="1:11">
      <c r="A10" s="146" t="s">
        <v>11</v>
      </c>
      <c r="B10" s="147"/>
      <c r="C10" s="147"/>
      <c r="D10" s="147"/>
      <c r="E10" s="147"/>
      <c r="F10" s="147"/>
      <c r="G10" s="147"/>
      <c r="H10" s="147"/>
      <c r="I10" s="147"/>
      <c r="J10" s="148"/>
      <c r="K10" s="1"/>
    </row>
    <row r="11" spans="1:11" ht="15" customHeight="1">
      <c r="A11" s="67" t="s">
        <v>12</v>
      </c>
      <c r="B11" s="70">
        <v>216</v>
      </c>
      <c r="C11" s="46" t="s">
        <v>189</v>
      </c>
      <c r="D11" s="73" t="s">
        <v>200</v>
      </c>
      <c r="E11" s="17">
        <v>6</v>
      </c>
      <c r="F11" s="70">
        <v>6</v>
      </c>
      <c r="G11" s="70">
        <v>2</v>
      </c>
      <c r="H11" s="70">
        <f t="shared" ref="H11" si="0">G11*F11*E11</f>
        <v>72</v>
      </c>
      <c r="I11" s="18" t="s">
        <v>126</v>
      </c>
      <c r="J11" s="18">
        <f>B11*194/100000</f>
        <v>0.41904000000000002</v>
      </c>
      <c r="K11" s="86" t="s">
        <v>510</v>
      </c>
    </row>
    <row r="12" spans="1:11" ht="30">
      <c r="A12" s="72" t="s">
        <v>151</v>
      </c>
      <c r="B12" s="18">
        <v>100</v>
      </c>
      <c r="C12" s="30" t="s">
        <v>152</v>
      </c>
      <c r="D12" s="64" t="s">
        <v>62</v>
      </c>
      <c r="E12" s="17">
        <v>3</v>
      </c>
      <c r="F12" s="70">
        <v>3</v>
      </c>
      <c r="G12" s="17">
        <v>2</v>
      </c>
      <c r="H12" s="70">
        <f t="shared" ref="H12:H28" si="1">G12*F12*E12</f>
        <v>18</v>
      </c>
      <c r="I12" s="18" t="s">
        <v>127</v>
      </c>
      <c r="J12" s="18">
        <f>98800/100000</f>
        <v>0.98799999999999999</v>
      </c>
      <c r="K12" s="85" t="s">
        <v>511</v>
      </c>
    </row>
    <row r="13" spans="1:11" ht="45">
      <c r="A13" s="72" t="s">
        <v>229</v>
      </c>
      <c r="B13" s="18">
        <v>10</v>
      </c>
      <c r="C13" s="30" t="s">
        <v>230</v>
      </c>
      <c r="D13" s="64" t="s">
        <v>62</v>
      </c>
      <c r="E13" s="17">
        <v>3</v>
      </c>
      <c r="F13" s="70">
        <v>3</v>
      </c>
      <c r="G13" s="17">
        <v>2</v>
      </c>
      <c r="H13" s="70">
        <f t="shared" si="1"/>
        <v>18</v>
      </c>
      <c r="I13" s="18" t="s">
        <v>127</v>
      </c>
      <c r="J13" s="18">
        <f>53880/100000</f>
        <v>0.53879999999999995</v>
      </c>
      <c r="K13" s="85" t="s">
        <v>512</v>
      </c>
    </row>
    <row r="14" spans="1:11">
      <c r="A14" s="116" t="s">
        <v>15</v>
      </c>
      <c r="B14" s="18">
        <v>200</v>
      </c>
      <c r="C14" s="11" t="s">
        <v>16</v>
      </c>
      <c r="D14" s="64" t="s">
        <v>62</v>
      </c>
      <c r="E14" s="17">
        <f t="shared" ref="E14:E28" si="2">1/(F14*G14)*B14</f>
        <v>2222.2222222222222</v>
      </c>
      <c r="F14" s="70">
        <v>0.3</v>
      </c>
      <c r="G14" s="17">
        <v>0.3</v>
      </c>
      <c r="H14" s="70">
        <f t="shared" si="1"/>
        <v>200</v>
      </c>
      <c r="I14" s="18" t="s">
        <v>127</v>
      </c>
      <c r="J14" s="18">
        <f>B14*194/100000</f>
        <v>0.38800000000000001</v>
      </c>
      <c r="K14" s="86" t="s">
        <v>513</v>
      </c>
    </row>
    <row r="15" spans="1:11" ht="30">
      <c r="A15" s="116"/>
      <c r="B15" s="18">
        <v>160</v>
      </c>
      <c r="C15" s="12" t="s">
        <v>188</v>
      </c>
      <c r="D15" s="64" t="s">
        <v>62</v>
      </c>
      <c r="E15" s="17">
        <f t="shared" si="2"/>
        <v>1777.7777777777778</v>
      </c>
      <c r="F15" s="70">
        <v>0.3</v>
      </c>
      <c r="G15" s="17">
        <v>0.3</v>
      </c>
      <c r="H15" s="70">
        <f t="shared" si="1"/>
        <v>160</v>
      </c>
      <c r="I15" s="18" t="s">
        <v>127</v>
      </c>
      <c r="J15" s="18">
        <f>B15*194/100000</f>
        <v>0.31040000000000001</v>
      </c>
      <c r="K15" s="85" t="s">
        <v>514</v>
      </c>
    </row>
    <row r="16" spans="1:11">
      <c r="A16" s="166" t="s">
        <v>19</v>
      </c>
      <c r="B16" s="18">
        <v>1500</v>
      </c>
      <c r="C16" s="14" t="s">
        <v>20</v>
      </c>
      <c r="D16" s="12" t="s">
        <v>237</v>
      </c>
      <c r="E16" s="17">
        <f t="shared" si="2"/>
        <v>1000</v>
      </c>
      <c r="F16" s="70">
        <v>1.5</v>
      </c>
      <c r="G16" s="17">
        <v>1</v>
      </c>
      <c r="H16" s="70">
        <f t="shared" si="1"/>
        <v>1500</v>
      </c>
      <c r="I16" s="18" t="s">
        <v>127</v>
      </c>
      <c r="J16" s="18">
        <f>B16*194/100000</f>
        <v>2.91</v>
      </c>
      <c r="K16" s="107" t="s">
        <v>515</v>
      </c>
    </row>
    <row r="17" spans="1:11">
      <c r="A17" s="167"/>
      <c r="B17" s="18">
        <v>1500</v>
      </c>
      <c r="C17" s="14" t="s">
        <v>20</v>
      </c>
      <c r="D17" s="12" t="s">
        <v>237</v>
      </c>
      <c r="E17" s="17">
        <f t="shared" si="2"/>
        <v>1000</v>
      </c>
      <c r="F17" s="17">
        <v>1.5</v>
      </c>
      <c r="G17" s="17">
        <v>1</v>
      </c>
      <c r="H17" s="70">
        <f t="shared" si="1"/>
        <v>1500</v>
      </c>
      <c r="I17" s="18" t="s">
        <v>127</v>
      </c>
      <c r="J17" s="93">
        <f t="shared" ref="J17:J21" si="3">B17*194/100000</f>
        <v>2.91</v>
      </c>
      <c r="K17" s="107"/>
    </row>
    <row r="18" spans="1:11">
      <c r="A18" s="167"/>
      <c r="B18" s="18">
        <v>1500</v>
      </c>
      <c r="C18" s="14" t="s">
        <v>20</v>
      </c>
      <c r="D18" s="12" t="s">
        <v>237</v>
      </c>
      <c r="E18" s="17">
        <f t="shared" ref="E18:E19" si="4">1/(F18*G18)*B18</f>
        <v>1000</v>
      </c>
      <c r="F18" s="17">
        <v>1.5</v>
      </c>
      <c r="G18" s="17">
        <v>1</v>
      </c>
      <c r="H18" s="70">
        <f t="shared" ref="H18:H19" si="5">G18*F18*E18</f>
        <v>1500</v>
      </c>
      <c r="I18" s="18" t="s">
        <v>127</v>
      </c>
      <c r="J18" s="93">
        <f t="shared" si="3"/>
        <v>2.91</v>
      </c>
      <c r="K18" s="107"/>
    </row>
    <row r="19" spans="1:11">
      <c r="A19" s="167"/>
      <c r="B19" s="18">
        <v>1500</v>
      </c>
      <c r="C19" s="14" t="s">
        <v>20</v>
      </c>
      <c r="D19" s="12" t="s">
        <v>237</v>
      </c>
      <c r="E19" s="17">
        <f t="shared" si="4"/>
        <v>1000</v>
      </c>
      <c r="F19" s="17">
        <v>1.5</v>
      </c>
      <c r="G19" s="17">
        <v>1</v>
      </c>
      <c r="H19" s="70">
        <f t="shared" si="5"/>
        <v>1500</v>
      </c>
      <c r="I19" s="18" t="s">
        <v>127</v>
      </c>
      <c r="J19" s="93">
        <f t="shared" si="3"/>
        <v>2.91</v>
      </c>
      <c r="K19" s="107"/>
    </row>
    <row r="20" spans="1:11">
      <c r="A20" s="167"/>
      <c r="B20" s="18">
        <v>1500</v>
      </c>
      <c r="C20" s="14" t="s">
        <v>20</v>
      </c>
      <c r="D20" s="12" t="s">
        <v>237</v>
      </c>
      <c r="E20" s="17">
        <f t="shared" si="2"/>
        <v>1000</v>
      </c>
      <c r="F20" s="17">
        <v>1.5</v>
      </c>
      <c r="G20" s="17">
        <v>1</v>
      </c>
      <c r="H20" s="70">
        <f t="shared" si="1"/>
        <v>1500</v>
      </c>
      <c r="I20" s="18" t="s">
        <v>127</v>
      </c>
      <c r="J20" s="93">
        <f t="shared" si="3"/>
        <v>2.91</v>
      </c>
      <c r="K20" s="107"/>
    </row>
    <row r="21" spans="1:11">
      <c r="A21" s="167"/>
      <c r="B21" s="18">
        <v>1500</v>
      </c>
      <c r="C21" s="14" t="s">
        <v>20</v>
      </c>
      <c r="D21" s="12" t="s">
        <v>237</v>
      </c>
      <c r="E21" s="17">
        <f t="shared" si="2"/>
        <v>1000</v>
      </c>
      <c r="F21" s="17">
        <v>1.5</v>
      </c>
      <c r="G21" s="17">
        <v>1</v>
      </c>
      <c r="H21" s="70">
        <f t="shared" si="1"/>
        <v>1500</v>
      </c>
      <c r="I21" s="18" t="s">
        <v>127</v>
      </c>
      <c r="J21" s="93">
        <f t="shared" si="3"/>
        <v>2.91</v>
      </c>
      <c r="K21" s="107"/>
    </row>
    <row r="22" spans="1:11">
      <c r="A22" s="167"/>
      <c r="B22" s="187"/>
      <c r="C22" s="188"/>
      <c r="D22" s="189"/>
      <c r="E22" s="187"/>
      <c r="F22" s="187"/>
      <c r="G22" s="187"/>
      <c r="H22" s="187"/>
      <c r="I22" s="187"/>
      <c r="J22" s="187"/>
      <c r="K22" s="1"/>
    </row>
    <row r="23" spans="1:11">
      <c r="A23" s="167"/>
      <c r="B23" s="194">
        <v>1500</v>
      </c>
      <c r="C23" s="229" t="s">
        <v>20</v>
      </c>
      <c r="D23" s="196" t="s">
        <v>237</v>
      </c>
      <c r="E23" s="195">
        <f t="shared" ref="E23:E25" si="6">1/(F23*G23)*B23</f>
        <v>1000</v>
      </c>
      <c r="F23" s="195">
        <v>1.5</v>
      </c>
      <c r="G23" s="195">
        <v>1</v>
      </c>
      <c r="H23" s="217">
        <f t="shared" ref="H23:H25" si="7">G23*F23*E23</f>
        <v>1500</v>
      </c>
      <c r="I23" s="194" t="s">
        <v>127</v>
      </c>
      <c r="J23" s="194">
        <f>B23*194/100000</f>
        <v>2.91</v>
      </c>
      <c r="K23" s="163" t="s">
        <v>516</v>
      </c>
    </row>
    <row r="24" spans="1:11">
      <c r="A24" s="167"/>
      <c r="B24" s="194">
        <v>1500</v>
      </c>
      <c r="C24" s="229" t="s">
        <v>20</v>
      </c>
      <c r="D24" s="196" t="s">
        <v>237</v>
      </c>
      <c r="E24" s="195">
        <f t="shared" si="6"/>
        <v>1000</v>
      </c>
      <c r="F24" s="195">
        <v>1.5</v>
      </c>
      <c r="G24" s="195">
        <v>1</v>
      </c>
      <c r="H24" s="217">
        <f t="shared" si="7"/>
        <v>1500</v>
      </c>
      <c r="I24" s="194" t="s">
        <v>127</v>
      </c>
      <c r="J24" s="194">
        <f t="shared" ref="J24:J31" si="8">B24*194/100000</f>
        <v>2.91</v>
      </c>
      <c r="K24" s="164"/>
    </row>
    <row r="25" spans="1:11">
      <c r="A25" s="167"/>
      <c r="B25" s="194">
        <v>1500</v>
      </c>
      <c r="C25" s="229" t="s">
        <v>20</v>
      </c>
      <c r="D25" s="196" t="s">
        <v>237</v>
      </c>
      <c r="E25" s="195">
        <f t="shared" si="6"/>
        <v>1000</v>
      </c>
      <c r="F25" s="195">
        <v>1.5</v>
      </c>
      <c r="G25" s="195">
        <v>1</v>
      </c>
      <c r="H25" s="217">
        <f t="shared" si="7"/>
        <v>1500</v>
      </c>
      <c r="I25" s="194" t="s">
        <v>127</v>
      </c>
      <c r="J25" s="194">
        <f t="shared" si="8"/>
        <v>2.91</v>
      </c>
      <c r="K25" s="164"/>
    </row>
    <row r="26" spans="1:11">
      <c r="A26" s="167"/>
      <c r="B26" s="194">
        <v>1500</v>
      </c>
      <c r="C26" s="229" t="s">
        <v>20</v>
      </c>
      <c r="D26" s="196" t="s">
        <v>237</v>
      </c>
      <c r="E26" s="195">
        <f t="shared" si="2"/>
        <v>1000</v>
      </c>
      <c r="F26" s="195">
        <v>1.5</v>
      </c>
      <c r="G26" s="195">
        <v>1</v>
      </c>
      <c r="H26" s="217">
        <f t="shared" si="1"/>
        <v>1500</v>
      </c>
      <c r="I26" s="194" t="s">
        <v>127</v>
      </c>
      <c r="J26" s="194">
        <f t="shared" si="8"/>
        <v>2.91</v>
      </c>
      <c r="K26" s="164"/>
    </row>
    <row r="27" spans="1:11">
      <c r="A27" s="167"/>
      <c r="B27" s="194">
        <v>1500</v>
      </c>
      <c r="C27" s="262" t="s">
        <v>232</v>
      </c>
      <c r="D27" s="196" t="s">
        <v>237</v>
      </c>
      <c r="E27" s="195">
        <f>1/(F27*G27)*B27</f>
        <v>1500</v>
      </c>
      <c r="F27" s="195">
        <v>1</v>
      </c>
      <c r="G27" s="195">
        <v>1</v>
      </c>
      <c r="H27" s="217">
        <f t="shared" si="1"/>
        <v>1500</v>
      </c>
      <c r="I27" s="194" t="s">
        <v>127</v>
      </c>
      <c r="J27" s="194">
        <f t="shared" si="8"/>
        <v>2.91</v>
      </c>
      <c r="K27" s="164"/>
    </row>
    <row r="28" spans="1:11">
      <c r="A28" s="167"/>
      <c r="B28" s="194">
        <v>1500</v>
      </c>
      <c r="C28" s="262" t="s">
        <v>232</v>
      </c>
      <c r="D28" s="196" t="s">
        <v>237</v>
      </c>
      <c r="E28" s="195">
        <f t="shared" si="2"/>
        <v>1500</v>
      </c>
      <c r="F28" s="195">
        <v>1</v>
      </c>
      <c r="G28" s="195">
        <v>1</v>
      </c>
      <c r="H28" s="217">
        <f t="shared" si="1"/>
        <v>1500</v>
      </c>
      <c r="I28" s="194" t="s">
        <v>127</v>
      </c>
      <c r="J28" s="194">
        <f t="shared" si="8"/>
        <v>2.91</v>
      </c>
      <c r="K28" s="164"/>
    </row>
    <row r="29" spans="1:11">
      <c r="A29" s="167"/>
      <c r="B29" s="194">
        <v>1500</v>
      </c>
      <c r="C29" s="262" t="s">
        <v>232</v>
      </c>
      <c r="D29" s="196" t="s">
        <v>237</v>
      </c>
      <c r="E29" s="195">
        <f>1/(F29*G29)*B29</f>
        <v>75</v>
      </c>
      <c r="F29" s="195">
        <v>20</v>
      </c>
      <c r="G29" s="195">
        <v>1</v>
      </c>
      <c r="H29" s="217">
        <f>G29*F29*E29</f>
        <v>1500</v>
      </c>
      <c r="I29" s="194" t="s">
        <v>127</v>
      </c>
      <c r="J29" s="194">
        <f t="shared" si="8"/>
        <v>2.91</v>
      </c>
      <c r="K29" s="164"/>
    </row>
    <row r="30" spans="1:11">
      <c r="A30" s="167"/>
      <c r="B30" s="194">
        <v>1500</v>
      </c>
      <c r="C30" s="262" t="s">
        <v>179</v>
      </c>
      <c r="D30" s="196" t="s">
        <v>237</v>
      </c>
      <c r="E30" s="195">
        <f t="shared" ref="E30:E31" si="9">1/(F30*G30)*B30</f>
        <v>75</v>
      </c>
      <c r="F30" s="195">
        <v>20</v>
      </c>
      <c r="G30" s="195">
        <v>1</v>
      </c>
      <c r="H30" s="217">
        <f t="shared" ref="H30:H31" si="10">G30*F30*E30</f>
        <v>1500</v>
      </c>
      <c r="I30" s="194" t="s">
        <v>127</v>
      </c>
      <c r="J30" s="194">
        <f t="shared" si="8"/>
        <v>2.91</v>
      </c>
      <c r="K30" s="164"/>
    </row>
    <row r="31" spans="1:11">
      <c r="A31" s="167"/>
      <c r="B31" s="194">
        <v>1500</v>
      </c>
      <c r="C31" s="262" t="s">
        <v>179</v>
      </c>
      <c r="D31" s="196" t="s">
        <v>237</v>
      </c>
      <c r="E31" s="195">
        <f t="shared" si="9"/>
        <v>75</v>
      </c>
      <c r="F31" s="195">
        <v>20</v>
      </c>
      <c r="G31" s="195">
        <v>1</v>
      </c>
      <c r="H31" s="217">
        <f t="shared" si="10"/>
        <v>1500</v>
      </c>
      <c r="I31" s="194" t="s">
        <v>127</v>
      </c>
      <c r="J31" s="194">
        <f t="shared" si="8"/>
        <v>2.91</v>
      </c>
      <c r="K31" s="165"/>
    </row>
    <row r="32" spans="1:11">
      <c r="A32" s="63"/>
      <c r="B32" s="190"/>
      <c r="C32" s="191"/>
      <c r="D32" s="199"/>
      <c r="E32" s="190"/>
      <c r="F32" s="190"/>
      <c r="G32" s="190"/>
      <c r="H32" s="190"/>
      <c r="I32" s="190"/>
      <c r="J32" s="190"/>
      <c r="K32" s="1"/>
    </row>
    <row r="33" spans="1:11">
      <c r="A33" s="36" t="s">
        <v>21</v>
      </c>
      <c r="B33" s="236"/>
      <c r="C33" s="201"/>
      <c r="D33" s="201"/>
      <c r="E33" s="201"/>
      <c r="F33" s="201"/>
      <c r="G33" s="201"/>
      <c r="H33" s="201"/>
      <c r="I33" s="201"/>
      <c r="J33" s="201"/>
      <c r="K33" s="1"/>
    </row>
    <row r="34" spans="1:11">
      <c r="A34" s="123" t="s">
        <v>28</v>
      </c>
      <c r="B34" s="194">
        <v>5</v>
      </c>
      <c r="C34" s="196" t="s">
        <v>66</v>
      </c>
      <c r="D34" s="37" t="s">
        <v>564</v>
      </c>
      <c r="E34" s="195">
        <v>3.05</v>
      </c>
      <c r="F34" s="195">
        <v>2</v>
      </c>
      <c r="G34" s="195">
        <v>2.2000000000000002</v>
      </c>
      <c r="H34" s="195">
        <f t="shared" ref="H34:H59" si="11">G34*F34*E34</f>
        <v>13.42</v>
      </c>
      <c r="I34" s="194" t="s">
        <v>577</v>
      </c>
      <c r="J34" s="194">
        <f>91940/100000</f>
        <v>0.9194</v>
      </c>
      <c r="K34" s="85" t="s">
        <v>517</v>
      </c>
    </row>
    <row r="35" spans="1:11">
      <c r="A35" s="124"/>
      <c r="B35" s="194">
        <v>10</v>
      </c>
      <c r="C35" s="75" t="s">
        <v>67</v>
      </c>
      <c r="D35" s="37" t="s">
        <v>565</v>
      </c>
      <c r="E35" s="195">
        <v>3.05</v>
      </c>
      <c r="F35" s="195">
        <v>2</v>
      </c>
      <c r="G35" s="195">
        <v>2.2000000000000002</v>
      </c>
      <c r="H35" s="195">
        <f t="shared" si="11"/>
        <v>13.42</v>
      </c>
      <c r="I35" s="194" t="s">
        <v>577</v>
      </c>
      <c r="J35" s="194">
        <f>421940/100000</f>
        <v>4.2194000000000003</v>
      </c>
      <c r="K35" s="85" t="s">
        <v>518</v>
      </c>
    </row>
    <row r="36" spans="1:11">
      <c r="A36" s="123" t="s">
        <v>29</v>
      </c>
      <c r="B36" s="194">
        <v>780</v>
      </c>
      <c r="C36" s="209" t="s">
        <v>30</v>
      </c>
      <c r="D36" s="196" t="s">
        <v>237</v>
      </c>
      <c r="E36" s="195">
        <f t="shared" ref="E36:E49" si="12">1/(F36*G36)*B36</f>
        <v>95.823095823095812</v>
      </c>
      <c r="F36" s="195">
        <v>3.7</v>
      </c>
      <c r="G36" s="195">
        <v>2.2000000000000002</v>
      </c>
      <c r="H36" s="195">
        <f t="shared" si="11"/>
        <v>780</v>
      </c>
      <c r="I36" s="194" t="s">
        <v>127</v>
      </c>
      <c r="J36" s="194">
        <f>B36*194/100000</f>
        <v>1.5132000000000001</v>
      </c>
      <c r="K36" s="135" t="s">
        <v>519</v>
      </c>
    </row>
    <row r="37" spans="1:11">
      <c r="A37" s="124"/>
      <c r="B37" s="194">
        <v>780</v>
      </c>
      <c r="C37" s="239" t="s">
        <v>30</v>
      </c>
      <c r="D37" s="196" t="s">
        <v>237</v>
      </c>
      <c r="E37" s="195">
        <f t="shared" si="12"/>
        <v>95.823095823095812</v>
      </c>
      <c r="F37" s="195">
        <v>3.7</v>
      </c>
      <c r="G37" s="195">
        <v>2.2000000000000002</v>
      </c>
      <c r="H37" s="195">
        <f t="shared" si="11"/>
        <v>780</v>
      </c>
      <c r="I37" s="194" t="s">
        <v>127</v>
      </c>
      <c r="J37" s="194">
        <f t="shared" ref="J37:J49" si="13">B37*194/100000</f>
        <v>1.5132000000000001</v>
      </c>
      <c r="K37" s="136"/>
    </row>
    <row r="38" spans="1:11">
      <c r="A38" s="124"/>
      <c r="B38" s="194">
        <v>780</v>
      </c>
      <c r="C38" s="239" t="s">
        <v>30</v>
      </c>
      <c r="D38" s="196" t="s">
        <v>237</v>
      </c>
      <c r="E38" s="195">
        <f t="shared" si="12"/>
        <v>95.823095823095812</v>
      </c>
      <c r="F38" s="195">
        <v>3.7</v>
      </c>
      <c r="G38" s="195">
        <v>2.2000000000000002</v>
      </c>
      <c r="H38" s="195">
        <f t="shared" si="11"/>
        <v>780</v>
      </c>
      <c r="I38" s="194" t="s">
        <v>127</v>
      </c>
      <c r="J38" s="194">
        <f t="shared" si="13"/>
        <v>1.5132000000000001</v>
      </c>
      <c r="K38" s="136"/>
    </row>
    <row r="39" spans="1:11">
      <c r="A39" s="124"/>
      <c r="B39" s="194">
        <v>780</v>
      </c>
      <c r="C39" s="239" t="s">
        <v>30</v>
      </c>
      <c r="D39" s="196" t="s">
        <v>237</v>
      </c>
      <c r="E39" s="195">
        <f t="shared" si="12"/>
        <v>95.823095823095812</v>
      </c>
      <c r="F39" s="195">
        <v>3.7</v>
      </c>
      <c r="G39" s="195">
        <v>2.2000000000000002</v>
      </c>
      <c r="H39" s="195">
        <f t="shared" si="11"/>
        <v>780</v>
      </c>
      <c r="I39" s="194" t="s">
        <v>127</v>
      </c>
      <c r="J39" s="194">
        <f t="shared" si="13"/>
        <v>1.5132000000000001</v>
      </c>
      <c r="K39" s="136"/>
    </row>
    <row r="40" spans="1:11">
      <c r="A40" s="124"/>
      <c r="B40" s="194">
        <v>780</v>
      </c>
      <c r="C40" s="239" t="s">
        <v>30</v>
      </c>
      <c r="D40" s="196" t="s">
        <v>237</v>
      </c>
      <c r="E40" s="195">
        <f t="shared" ref="E40:E43" si="14">1/(F40*G40)*B40</f>
        <v>95.823095823095812</v>
      </c>
      <c r="F40" s="195">
        <v>3.7</v>
      </c>
      <c r="G40" s="195">
        <v>2.2000000000000002</v>
      </c>
      <c r="H40" s="195">
        <f t="shared" ref="H40:H43" si="15">G40*F40*E40</f>
        <v>780</v>
      </c>
      <c r="I40" s="194" t="s">
        <v>127</v>
      </c>
      <c r="J40" s="194">
        <f t="shared" si="13"/>
        <v>1.5132000000000001</v>
      </c>
      <c r="K40" s="136"/>
    </row>
    <row r="41" spans="1:11">
      <c r="A41" s="124"/>
      <c r="B41" s="194">
        <v>780</v>
      </c>
      <c r="C41" s="239" t="s">
        <v>30</v>
      </c>
      <c r="D41" s="196" t="s">
        <v>237</v>
      </c>
      <c r="E41" s="195">
        <f t="shared" si="14"/>
        <v>95.823095823095812</v>
      </c>
      <c r="F41" s="195">
        <v>3.7</v>
      </c>
      <c r="G41" s="195">
        <v>2.2000000000000002</v>
      </c>
      <c r="H41" s="195">
        <f t="shared" si="15"/>
        <v>780</v>
      </c>
      <c r="I41" s="194" t="s">
        <v>127</v>
      </c>
      <c r="J41" s="194">
        <f t="shared" si="13"/>
        <v>1.5132000000000001</v>
      </c>
      <c r="K41" s="136"/>
    </row>
    <row r="42" spans="1:11">
      <c r="A42" s="124"/>
      <c r="B42" s="194">
        <v>780</v>
      </c>
      <c r="C42" s="239" t="s">
        <v>30</v>
      </c>
      <c r="D42" s="196" t="s">
        <v>237</v>
      </c>
      <c r="E42" s="195">
        <f t="shared" si="14"/>
        <v>95.823095823095812</v>
      </c>
      <c r="F42" s="195">
        <v>3.7</v>
      </c>
      <c r="G42" s="195">
        <v>2.2000000000000002</v>
      </c>
      <c r="H42" s="195">
        <f t="shared" si="15"/>
        <v>780</v>
      </c>
      <c r="I42" s="194" t="s">
        <v>127</v>
      </c>
      <c r="J42" s="194">
        <f t="shared" si="13"/>
        <v>1.5132000000000001</v>
      </c>
      <c r="K42" s="136"/>
    </row>
    <row r="43" spans="1:11">
      <c r="A43" s="124"/>
      <c r="B43" s="194">
        <v>780</v>
      </c>
      <c r="C43" s="239" t="s">
        <v>30</v>
      </c>
      <c r="D43" s="196" t="s">
        <v>237</v>
      </c>
      <c r="E43" s="195">
        <f t="shared" si="14"/>
        <v>95.823095823095812</v>
      </c>
      <c r="F43" s="195">
        <v>3.7</v>
      </c>
      <c r="G43" s="195">
        <v>2.2000000000000002</v>
      </c>
      <c r="H43" s="195">
        <f t="shared" si="15"/>
        <v>780</v>
      </c>
      <c r="I43" s="194" t="s">
        <v>127</v>
      </c>
      <c r="J43" s="194">
        <f t="shared" si="13"/>
        <v>1.5132000000000001</v>
      </c>
      <c r="K43" s="136"/>
    </row>
    <row r="44" spans="1:11">
      <c r="A44" s="124"/>
      <c r="B44" s="194">
        <v>780</v>
      </c>
      <c r="C44" s="239" t="s">
        <v>30</v>
      </c>
      <c r="D44" s="196" t="s">
        <v>237</v>
      </c>
      <c r="E44" s="195">
        <f t="shared" si="12"/>
        <v>95.823095823095812</v>
      </c>
      <c r="F44" s="195">
        <v>3.7</v>
      </c>
      <c r="G44" s="195">
        <v>2.2000000000000002</v>
      </c>
      <c r="H44" s="195">
        <f t="shared" si="11"/>
        <v>780</v>
      </c>
      <c r="I44" s="194" t="s">
        <v>127</v>
      </c>
      <c r="J44" s="194">
        <f t="shared" si="13"/>
        <v>1.5132000000000001</v>
      </c>
      <c r="K44" s="136"/>
    </row>
    <row r="45" spans="1:11">
      <c r="A45" s="55"/>
      <c r="B45" s="194">
        <v>780</v>
      </c>
      <c r="C45" s="239" t="s">
        <v>30</v>
      </c>
      <c r="D45" s="196" t="s">
        <v>237</v>
      </c>
      <c r="E45" s="195">
        <f t="shared" si="12"/>
        <v>95.823095823095812</v>
      </c>
      <c r="F45" s="195">
        <v>3.7</v>
      </c>
      <c r="G45" s="195">
        <v>2.2000000000000002</v>
      </c>
      <c r="H45" s="195">
        <f t="shared" si="11"/>
        <v>780</v>
      </c>
      <c r="I45" s="194" t="s">
        <v>127</v>
      </c>
      <c r="J45" s="194">
        <f t="shared" si="13"/>
        <v>1.5132000000000001</v>
      </c>
      <c r="K45" s="136"/>
    </row>
    <row r="46" spans="1:11">
      <c r="A46" s="55"/>
      <c r="B46" s="194">
        <v>780</v>
      </c>
      <c r="C46" s="239" t="s">
        <v>30</v>
      </c>
      <c r="D46" s="196" t="s">
        <v>237</v>
      </c>
      <c r="E46" s="195">
        <f t="shared" si="12"/>
        <v>95.823095823095812</v>
      </c>
      <c r="F46" s="195">
        <v>3.7</v>
      </c>
      <c r="G46" s="195">
        <v>2.2000000000000002</v>
      </c>
      <c r="H46" s="195">
        <f t="shared" si="11"/>
        <v>780</v>
      </c>
      <c r="I46" s="194" t="s">
        <v>127</v>
      </c>
      <c r="J46" s="194">
        <f t="shared" si="13"/>
        <v>1.5132000000000001</v>
      </c>
      <c r="K46" s="136"/>
    </row>
    <row r="47" spans="1:11">
      <c r="A47" s="55"/>
      <c r="B47" s="194">
        <v>780</v>
      </c>
      <c r="C47" s="239" t="s">
        <v>30</v>
      </c>
      <c r="D47" s="196" t="s">
        <v>237</v>
      </c>
      <c r="E47" s="195">
        <f t="shared" si="12"/>
        <v>95.823095823095812</v>
      </c>
      <c r="F47" s="195">
        <v>3.7</v>
      </c>
      <c r="G47" s="195">
        <v>2.2000000000000002</v>
      </c>
      <c r="H47" s="195">
        <f t="shared" si="11"/>
        <v>780</v>
      </c>
      <c r="I47" s="194" t="s">
        <v>127</v>
      </c>
      <c r="J47" s="194">
        <f t="shared" si="13"/>
        <v>1.5132000000000001</v>
      </c>
      <c r="K47" s="136"/>
    </row>
    <row r="48" spans="1:11">
      <c r="A48" s="55"/>
      <c r="B48" s="194">
        <v>780</v>
      </c>
      <c r="C48" s="239" t="s">
        <v>30</v>
      </c>
      <c r="D48" s="196" t="s">
        <v>237</v>
      </c>
      <c r="E48" s="195">
        <f t="shared" si="12"/>
        <v>95.823095823095812</v>
      </c>
      <c r="F48" s="195">
        <v>3.7</v>
      </c>
      <c r="G48" s="195">
        <v>2.2000000000000002</v>
      </c>
      <c r="H48" s="195">
        <f t="shared" si="11"/>
        <v>780</v>
      </c>
      <c r="I48" s="194" t="s">
        <v>127</v>
      </c>
      <c r="J48" s="194">
        <f t="shared" si="13"/>
        <v>1.5132000000000001</v>
      </c>
      <c r="K48" s="136"/>
    </row>
    <row r="49" spans="1:11">
      <c r="B49" s="194">
        <v>780</v>
      </c>
      <c r="C49" s="239" t="s">
        <v>30</v>
      </c>
      <c r="D49" s="196" t="s">
        <v>237</v>
      </c>
      <c r="E49" s="195">
        <f t="shared" si="12"/>
        <v>95.823095823095812</v>
      </c>
      <c r="F49" s="195">
        <v>3.7</v>
      </c>
      <c r="G49" s="195">
        <v>2.2000000000000002</v>
      </c>
      <c r="H49" s="195">
        <f t="shared" si="11"/>
        <v>780</v>
      </c>
      <c r="I49" s="194" t="s">
        <v>127</v>
      </c>
      <c r="J49" s="194">
        <f t="shared" si="13"/>
        <v>1.5132000000000001</v>
      </c>
      <c r="K49" s="137"/>
    </row>
    <row r="50" spans="1:11">
      <c r="B50" s="187"/>
      <c r="C50" s="302"/>
      <c r="D50" s="189"/>
      <c r="E50" s="187"/>
      <c r="F50" s="187"/>
      <c r="G50" s="187"/>
      <c r="H50" s="187"/>
      <c r="I50" s="187"/>
      <c r="J50" s="187"/>
      <c r="K50" s="1"/>
    </row>
    <row r="51" spans="1:11">
      <c r="A51" s="59" t="s">
        <v>32</v>
      </c>
      <c r="B51" s="194"/>
      <c r="C51" s="268"/>
      <c r="D51" s="196"/>
      <c r="E51" s="195"/>
      <c r="F51" s="195"/>
      <c r="G51" s="195"/>
      <c r="H51" s="195"/>
      <c r="I51" s="194"/>
      <c r="J51" s="194"/>
      <c r="K51" s="1"/>
    </row>
    <row r="52" spans="1:11">
      <c r="A52" s="158" t="s">
        <v>96</v>
      </c>
      <c r="B52" s="187"/>
      <c r="C52" s="207"/>
      <c r="D52" s="37"/>
      <c r="E52" s="195"/>
      <c r="F52" s="195"/>
      <c r="G52" s="195"/>
      <c r="H52" s="195"/>
      <c r="I52" s="194"/>
      <c r="J52" s="194"/>
      <c r="K52" s="1"/>
    </row>
    <row r="53" spans="1:11">
      <c r="A53" s="158"/>
      <c r="B53" s="206">
        <v>20</v>
      </c>
      <c r="C53" s="207" t="s">
        <v>117</v>
      </c>
      <c r="D53" s="37" t="s">
        <v>62</v>
      </c>
      <c r="E53" s="195">
        <v>100</v>
      </c>
      <c r="F53" s="195">
        <v>0.45</v>
      </c>
      <c r="G53" s="195">
        <v>0.45</v>
      </c>
      <c r="H53" s="195">
        <f>G53*F53*E53</f>
        <v>20.25</v>
      </c>
      <c r="I53" s="187" t="s">
        <v>127</v>
      </c>
      <c r="J53" s="194">
        <f>87760/100000</f>
        <v>0.87760000000000005</v>
      </c>
      <c r="K53" s="85" t="s">
        <v>520</v>
      </c>
    </row>
    <row r="54" spans="1:11">
      <c r="A54" s="114" t="s">
        <v>98</v>
      </c>
      <c r="B54" s="206">
        <v>10</v>
      </c>
      <c r="C54" s="209" t="s">
        <v>115</v>
      </c>
      <c r="D54" s="37" t="s">
        <v>234</v>
      </c>
      <c r="E54" s="269">
        <v>35</v>
      </c>
      <c r="F54" s="195">
        <v>3.5</v>
      </c>
      <c r="G54" s="195">
        <v>0.1</v>
      </c>
      <c r="H54" s="195">
        <f t="shared" si="11"/>
        <v>12.250000000000002</v>
      </c>
      <c r="I54" s="187" t="s">
        <v>127</v>
      </c>
      <c r="J54" s="194">
        <f>53880/100000</f>
        <v>0.53879999999999995</v>
      </c>
      <c r="K54" s="85" t="s">
        <v>521</v>
      </c>
    </row>
    <row r="55" spans="1:11">
      <c r="A55" s="113"/>
      <c r="B55" s="206">
        <v>4500</v>
      </c>
      <c r="C55" s="270" t="s">
        <v>233</v>
      </c>
      <c r="D55" s="37" t="s">
        <v>235</v>
      </c>
      <c r="E55" s="195">
        <f t="shared" ref="E55" si="16">1/(F55*G55)*B55</f>
        <v>584.41558441558436</v>
      </c>
      <c r="F55" s="195">
        <v>3.5</v>
      </c>
      <c r="G55" s="195">
        <v>2.2000000000000002</v>
      </c>
      <c r="H55" s="195">
        <f t="shared" ref="H55" si="17">G55*F55*E55</f>
        <v>4500</v>
      </c>
      <c r="I55" s="194" t="s">
        <v>127</v>
      </c>
      <c r="J55" s="194">
        <f>B55*194/100000</f>
        <v>8.73</v>
      </c>
      <c r="K55" s="85" t="s">
        <v>522</v>
      </c>
    </row>
    <row r="56" spans="1:11">
      <c r="A56" s="22" t="s">
        <v>142</v>
      </c>
      <c r="B56" s="206">
        <v>4409</v>
      </c>
      <c r="C56" s="270" t="s">
        <v>196</v>
      </c>
      <c r="D56" s="196" t="s">
        <v>62</v>
      </c>
      <c r="E56" s="195">
        <f t="shared" ref="E56" si="18">1/(F56*G56)*B56</f>
        <v>44.09</v>
      </c>
      <c r="F56" s="195">
        <v>20</v>
      </c>
      <c r="G56" s="195">
        <v>5</v>
      </c>
      <c r="H56" s="195">
        <f t="shared" si="11"/>
        <v>4409</v>
      </c>
      <c r="I56" s="194" t="s">
        <v>127</v>
      </c>
      <c r="J56" s="194">
        <f>B56*194/100000</f>
        <v>8.5534599999999994</v>
      </c>
      <c r="K56" s="85" t="s">
        <v>523</v>
      </c>
    </row>
    <row r="57" spans="1:11">
      <c r="A57" s="115" t="s">
        <v>114</v>
      </c>
      <c r="B57" s="206">
        <v>10</v>
      </c>
      <c r="C57" s="270" t="s">
        <v>52</v>
      </c>
      <c r="D57" s="37" t="s">
        <v>236</v>
      </c>
      <c r="E57" s="195">
        <v>3</v>
      </c>
      <c r="F57" s="195">
        <v>2</v>
      </c>
      <c r="G57" s="195">
        <v>1.2</v>
      </c>
      <c r="H57" s="195">
        <f t="shared" si="11"/>
        <v>7.1999999999999993</v>
      </c>
      <c r="I57" s="194" t="s">
        <v>127</v>
      </c>
      <c r="J57" s="194">
        <f>53880/100000</f>
        <v>0.53879999999999995</v>
      </c>
      <c r="K57" s="85" t="s">
        <v>524</v>
      </c>
    </row>
    <row r="58" spans="1:11">
      <c r="A58" s="115"/>
      <c r="B58" s="194">
        <v>10</v>
      </c>
      <c r="C58" s="208" t="s">
        <v>173</v>
      </c>
      <c r="D58" s="37" t="s">
        <v>62</v>
      </c>
      <c r="E58" s="195">
        <v>7.5</v>
      </c>
      <c r="F58" s="195">
        <v>3.65</v>
      </c>
      <c r="G58" s="195">
        <v>3.05</v>
      </c>
      <c r="H58" s="195">
        <f t="shared" si="11"/>
        <v>83.493749999999991</v>
      </c>
      <c r="I58" s="187" t="s">
        <v>127</v>
      </c>
      <c r="J58" s="194">
        <f>79790/100000</f>
        <v>0.79790000000000005</v>
      </c>
      <c r="K58" s="85" t="s">
        <v>525</v>
      </c>
    </row>
    <row r="59" spans="1:11">
      <c r="A59" s="115"/>
      <c r="B59" s="187">
        <v>120</v>
      </c>
      <c r="C59" s="207" t="s">
        <v>134</v>
      </c>
      <c r="D59" s="37" t="s">
        <v>62</v>
      </c>
      <c r="E59" s="195">
        <f t="shared" ref="E59" si="19">1/(F59*G59)*B59</f>
        <v>17.142857142857142</v>
      </c>
      <c r="F59" s="195">
        <v>3.5</v>
      </c>
      <c r="G59" s="195">
        <v>2</v>
      </c>
      <c r="H59" s="195">
        <f t="shared" si="11"/>
        <v>120</v>
      </c>
      <c r="I59" s="194" t="s">
        <v>127</v>
      </c>
      <c r="J59" s="194">
        <f>46560/100000</f>
        <v>0.46560000000000001</v>
      </c>
      <c r="K59" s="85" t="s">
        <v>526</v>
      </c>
    </row>
    <row r="60" spans="1:11">
      <c r="A60" s="66"/>
      <c r="B60" s="214">
        <f>SUM(B11:B59)</f>
        <v>43200</v>
      </c>
      <c r="C60" s="251"/>
      <c r="D60" s="252"/>
      <c r="E60" s="213"/>
      <c r="F60" s="213"/>
      <c r="G60" s="213"/>
      <c r="H60" s="213"/>
      <c r="I60" s="213"/>
      <c r="J60" s="253">
        <f>SUM(J11:J59)</f>
        <v>93.119999999999948</v>
      </c>
      <c r="K60" s="1"/>
    </row>
    <row r="61" spans="1:11">
      <c r="A61" s="66"/>
      <c r="B61" s="214"/>
      <c r="C61" s="210"/>
      <c r="D61" s="210"/>
      <c r="E61" s="210"/>
      <c r="F61" s="210"/>
      <c r="G61" s="210"/>
      <c r="H61" s="210"/>
      <c r="I61" s="210"/>
      <c r="J61" s="215">
        <f>E4/100000</f>
        <v>93.12</v>
      </c>
      <c r="K61" s="1"/>
    </row>
    <row r="62" spans="1:11">
      <c r="A62" s="66"/>
      <c r="B62" s="254">
        <f>B3*100</f>
        <v>43200</v>
      </c>
      <c r="C62" s="210"/>
      <c r="D62" s="210"/>
      <c r="E62" s="210"/>
      <c r="F62" s="210"/>
      <c r="G62" s="210"/>
      <c r="H62" s="210"/>
      <c r="I62" s="210"/>
      <c r="J62" s="255">
        <f>E2/100000</f>
        <v>83.808000000000007</v>
      </c>
      <c r="K62" s="1"/>
    </row>
    <row r="63" spans="1:11">
      <c r="A63" s="8" t="s">
        <v>38</v>
      </c>
      <c r="B63" s="210"/>
      <c r="C63" s="257">
        <f>E2/100000</f>
        <v>83.808000000000007</v>
      </c>
      <c r="D63" s="258" t="s">
        <v>39</v>
      </c>
      <c r="E63" s="210"/>
      <c r="F63" s="210"/>
      <c r="G63" s="210"/>
      <c r="H63" s="210"/>
      <c r="I63" s="210"/>
      <c r="J63" s="210"/>
      <c r="K63" s="1"/>
    </row>
    <row r="64" spans="1:11">
      <c r="A64" s="8" t="s">
        <v>40</v>
      </c>
      <c r="B64" s="210"/>
      <c r="C64" s="257">
        <f>C63*(1/9)</f>
        <v>9.3119999999999994</v>
      </c>
      <c r="D64" s="258" t="s">
        <v>39</v>
      </c>
      <c r="E64" s="210"/>
      <c r="F64" s="210"/>
      <c r="G64" s="210"/>
      <c r="H64" s="210"/>
      <c r="I64" s="210"/>
      <c r="J64" s="210"/>
      <c r="K64" s="48"/>
    </row>
    <row r="65" spans="1:11">
      <c r="A65" s="4" t="s">
        <v>108</v>
      </c>
      <c r="B65" s="210"/>
      <c r="C65" s="210"/>
      <c r="D65" s="210"/>
      <c r="E65" s="210"/>
      <c r="F65" s="210"/>
      <c r="G65" s="210"/>
      <c r="H65" s="210"/>
      <c r="I65" s="210"/>
      <c r="J65" s="259"/>
      <c r="K65" s="1"/>
    </row>
    <row r="66" spans="1:11">
      <c r="A66" s="1"/>
      <c r="B66" s="210"/>
      <c r="C66" s="210"/>
      <c r="D66" s="210"/>
      <c r="E66" s="210"/>
      <c r="F66" s="210"/>
      <c r="G66" s="210"/>
      <c r="H66" s="210"/>
      <c r="I66" s="210"/>
      <c r="J66" s="210"/>
      <c r="K66" s="1"/>
    </row>
    <row r="67" spans="1:11">
      <c r="A67" s="1"/>
      <c r="B67" s="210"/>
      <c r="C67" s="210"/>
      <c r="D67" s="210"/>
      <c r="E67" s="210"/>
      <c r="F67" s="210"/>
      <c r="G67" s="210"/>
      <c r="H67" s="210"/>
      <c r="I67" s="210"/>
      <c r="J67" s="210"/>
      <c r="K67" s="48"/>
    </row>
    <row r="68" spans="1:11">
      <c r="B68" s="303"/>
      <c r="C68" s="303"/>
      <c r="D68" s="303"/>
      <c r="E68" s="303"/>
      <c r="F68" s="303"/>
      <c r="G68" s="303"/>
      <c r="H68" s="303"/>
      <c r="I68" s="303"/>
      <c r="J68" s="303"/>
    </row>
  </sheetData>
  <mergeCells count="23">
    <mergeCell ref="K36:K49"/>
    <mergeCell ref="A14:A15"/>
    <mergeCell ref="A16:A31"/>
    <mergeCell ref="J7:J9"/>
    <mergeCell ref="A10:J10"/>
    <mergeCell ref="A7:A8"/>
    <mergeCell ref="B7:B8"/>
    <mergeCell ref="C7:C8"/>
    <mergeCell ref="D7:D8"/>
    <mergeCell ref="E7:I8"/>
    <mergeCell ref="K7:K9"/>
    <mergeCell ref="K16:K21"/>
    <mergeCell ref="K23:K31"/>
    <mergeCell ref="E2:G2"/>
    <mergeCell ref="E3:G3"/>
    <mergeCell ref="E4:G4"/>
    <mergeCell ref="E5:G5"/>
    <mergeCell ref="E6:G6"/>
    <mergeCell ref="A54:A55"/>
    <mergeCell ref="A34:A35"/>
    <mergeCell ref="A36:A44"/>
    <mergeCell ref="A52:A53"/>
    <mergeCell ref="A57:A59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M80"/>
  <sheetViews>
    <sheetView topLeftCell="A54" workbookViewId="0">
      <selection activeCell="K23" sqref="K23:K30"/>
    </sheetView>
  </sheetViews>
  <sheetFormatPr defaultColWidth="9.140625" defaultRowHeight="15"/>
  <cols>
    <col min="1" max="1" width="20.85546875" style="31" customWidth="1"/>
    <col min="2" max="2" width="17" style="31" customWidth="1"/>
    <col min="3" max="3" width="24" style="31" customWidth="1"/>
    <col min="4" max="4" width="19.85546875" style="31" customWidth="1"/>
    <col min="5" max="5" width="5.28515625" style="31" customWidth="1"/>
    <col min="6" max="6" width="4.5703125" style="31" customWidth="1"/>
    <col min="7" max="8" width="5.7109375" style="31" customWidth="1"/>
    <col min="9" max="9" width="5.5703125" style="31" customWidth="1"/>
    <col min="10" max="10" width="14.5703125" style="31" bestFit="1" customWidth="1"/>
    <col min="11" max="11" width="20.28515625" style="31" bestFit="1" customWidth="1"/>
    <col min="12" max="16384" width="9.140625" style="31"/>
  </cols>
  <sheetData>
    <row r="1" spans="1:13">
      <c r="A1" s="10" t="s">
        <v>231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  <c r="L1" s="28"/>
      <c r="M1" s="28"/>
    </row>
    <row r="2" spans="1:13">
      <c r="A2" s="2"/>
      <c r="B2" s="6"/>
      <c r="C2" s="3"/>
      <c r="D2" s="3" t="s">
        <v>0</v>
      </c>
      <c r="E2" s="138">
        <f>B3*194*100</f>
        <v>8730000</v>
      </c>
      <c r="F2" s="138"/>
      <c r="G2" s="138"/>
      <c r="H2" s="68"/>
      <c r="I2" s="68"/>
      <c r="J2" s="9"/>
      <c r="K2" s="1"/>
      <c r="L2" s="28"/>
      <c r="M2" s="28"/>
    </row>
    <row r="3" spans="1:13">
      <c r="A3" s="10" t="s">
        <v>1</v>
      </c>
      <c r="B3" s="6">
        <v>450</v>
      </c>
      <c r="C3" s="3"/>
      <c r="D3" s="3" t="s">
        <v>2</v>
      </c>
      <c r="E3" s="139">
        <f>E2*1/9</f>
        <v>970000</v>
      </c>
      <c r="F3" s="139"/>
      <c r="G3" s="139"/>
      <c r="H3" s="69"/>
      <c r="I3" s="69"/>
      <c r="J3" s="21"/>
      <c r="K3" s="1"/>
      <c r="L3" s="28"/>
      <c r="M3" s="28"/>
    </row>
    <row r="4" spans="1:13">
      <c r="A4" s="7"/>
      <c r="B4" s="5"/>
      <c r="C4" s="3"/>
      <c r="D4" s="3" t="s">
        <v>3</v>
      </c>
      <c r="E4" s="139">
        <f>SUM(E2:E3)</f>
        <v>9700000</v>
      </c>
      <c r="F4" s="139"/>
      <c r="G4" s="139"/>
      <c r="H4" s="69"/>
      <c r="I4" s="69"/>
      <c r="J4" s="9"/>
      <c r="K4" s="1"/>
      <c r="L4" s="28"/>
      <c r="M4" s="28"/>
    </row>
    <row r="5" spans="1:13">
      <c r="A5" s="7"/>
      <c r="B5" s="5"/>
      <c r="C5" s="3"/>
      <c r="D5" s="3" t="s">
        <v>4</v>
      </c>
      <c r="E5" s="139">
        <f>E4*0.06</f>
        <v>582000</v>
      </c>
      <c r="F5" s="139"/>
      <c r="G5" s="139"/>
      <c r="H5" s="69"/>
      <c r="I5" s="69"/>
      <c r="J5" s="9"/>
      <c r="K5" s="1"/>
      <c r="L5" s="28"/>
      <c r="M5" s="28"/>
    </row>
    <row r="6" spans="1:13">
      <c r="A6" s="7"/>
      <c r="B6" s="5"/>
      <c r="C6" s="3"/>
      <c r="D6" s="3" t="s">
        <v>5</v>
      </c>
      <c r="E6" s="140">
        <f>SUM(E4:E5)</f>
        <v>10282000</v>
      </c>
      <c r="F6" s="140"/>
      <c r="G6" s="140"/>
      <c r="H6" s="57"/>
      <c r="I6" s="57"/>
      <c r="J6" s="9"/>
      <c r="K6" s="1"/>
      <c r="L6" s="28"/>
      <c r="M6" s="28"/>
    </row>
    <row r="7" spans="1:13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574</v>
      </c>
      <c r="K7" s="150" t="s">
        <v>119</v>
      </c>
      <c r="L7" s="28"/>
      <c r="M7" s="28"/>
    </row>
    <row r="8" spans="1:13">
      <c r="A8" s="117"/>
      <c r="B8" s="118"/>
      <c r="C8" s="120"/>
      <c r="D8" s="122"/>
      <c r="E8" s="129"/>
      <c r="F8" s="130"/>
      <c r="G8" s="130"/>
      <c r="H8" s="130"/>
      <c r="I8" s="131"/>
      <c r="J8" s="149"/>
      <c r="K8" s="151"/>
      <c r="L8" s="28"/>
      <c r="M8" s="28"/>
    </row>
    <row r="9" spans="1:13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111"/>
      <c r="K9" s="152"/>
      <c r="L9" s="28"/>
      <c r="M9" s="28"/>
    </row>
    <row r="10" spans="1:13" ht="15" customHeight="1">
      <c r="A10" s="146" t="s">
        <v>11</v>
      </c>
      <c r="B10" s="147"/>
      <c r="C10" s="147"/>
      <c r="D10" s="147"/>
      <c r="E10" s="147"/>
      <c r="F10" s="147"/>
      <c r="G10" s="147"/>
      <c r="H10" s="147"/>
      <c r="I10" s="147"/>
      <c r="J10" s="148"/>
      <c r="K10" s="1"/>
      <c r="L10" s="28"/>
      <c r="M10" s="28"/>
    </row>
    <row r="11" spans="1:13" ht="15" customHeight="1">
      <c r="A11" s="29" t="s">
        <v>12</v>
      </c>
      <c r="B11" s="70">
        <v>216</v>
      </c>
      <c r="C11" s="46" t="s">
        <v>189</v>
      </c>
      <c r="D11" s="73" t="s">
        <v>237</v>
      </c>
      <c r="E11" s="17">
        <v>6</v>
      </c>
      <c r="F11" s="70">
        <v>6</v>
      </c>
      <c r="G11" s="70">
        <v>2</v>
      </c>
      <c r="H11" s="70">
        <f t="shared" ref="H11:H28" si="0">G11*F11*E11</f>
        <v>72</v>
      </c>
      <c r="I11" s="18" t="s">
        <v>126</v>
      </c>
      <c r="J11" s="18">
        <f>B11*194/100000</f>
        <v>0.41904000000000002</v>
      </c>
      <c r="K11" s="85" t="s">
        <v>527</v>
      </c>
      <c r="L11" s="28"/>
      <c r="M11" s="28"/>
    </row>
    <row r="12" spans="1:13" ht="32.25" customHeight="1">
      <c r="A12" s="72" t="s">
        <v>151</v>
      </c>
      <c r="B12" s="18">
        <v>100</v>
      </c>
      <c r="C12" s="30" t="s">
        <v>152</v>
      </c>
      <c r="D12" s="30" t="s">
        <v>238</v>
      </c>
      <c r="E12" s="17">
        <v>3</v>
      </c>
      <c r="F12" s="70">
        <v>3</v>
      </c>
      <c r="G12" s="17">
        <v>2</v>
      </c>
      <c r="H12" s="70">
        <f t="shared" si="0"/>
        <v>18</v>
      </c>
      <c r="I12" s="18" t="s">
        <v>127</v>
      </c>
      <c r="J12" s="18">
        <f>69400/100000</f>
        <v>0.69399999999999995</v>
      </c>
      <c r="K12" s="85" t="s">
        <v>528</v>
      </c>
      <c r="L12" s="28"/>
      <c r="M12" s="28"/>
    </row>
    <row r="13" spans="1:13" ht="31.5" customHeight="1">
      <c r="A13" s="72" t="s">
        <v>229</v>
      </c>
      <c r="B13" s="18">
        <v>50</v>
      </c>
      <c r="C13" s="30" t="s">
        <v>230</v>
      </c>
      <c r="D13" s="64" t="s">
        <v>239</v>
      </c>
      <c r="E13" s="17">
        <v>3</v>
      </c>
      <c r="F13" s="70">
        <v>3</v>
      </c>
      <c r="G13" s="17">
        <v>2</v>
      </c>
      <c r="H13" s="70">
        <f t="shared" si="0"/>
        <v>18</v>
      </c>
      <c r="I13" s="18" t="s">
        <v>127</v>
      </c>
      <c r="J13" s="18">
        <f>59700/100000</f>
        <v>0.59699999999999998</v>
      </c>
      <c r="K13" s="86" t="s">
        <v>529</v>
      </c>
      <c r="L13" s="28"/>
      <c r="M13" s="28"/>
    </row>
    <row r="14" spans="1:13" ht="15" customHeight="1">
      <c r="A14" s="153" t="s">
        <v>15</v>
      </c>
      <c r="B14" s="18">
        <v>500</v>
      </c>
      <c r="C14" s="11" t="s">
        <v>16</v>
      </c>
      <c r="D14" s="64" t="s">
        <v>239</v>
      </c>
      <c r="E14" s="17">
        <f t="shared" ref="E14:E28" si="1">1/(F14*G14)*B14</f>
        <v>5555.5555555555557</v>
      </c>
      <c r="F14" s="70">
        <v>0.3</v>
      </c>
      <c r="G14" s="17">
        <v>0.3</v>
      </c>
      <c r="H14" s="70">
        <f t="shared" si="0"/>
        <v>500</v>
      </c>
      <c r="I14" s="18" t="s">
        <v>127</v>
      </c>
      <c r="J14" s="18">
        <f>B14*194/100000</f>
        <v>0.97</v>
      </c>
      <c r="K14" s="85" t="s">
        <v>530</v>
      </c>
      <c r="L14" s="28"/>
      <c r="M14" s="28"/>
    </row>
    <row r="15" spans="1:13" ht="15" customHeight="1">
      <c r="A15" s="153"/>
      <c r="B15" s="18">
        <v>500</v>
      </c>
      <c r="C15" s="12" t="s">
        <v>188</v>
      </c>
      <c r="D15" s="64" t="s">
        <v>239</v>
      </c>
      <c r="E15" s="17">
        <f t="shared" si="1"/>
        <v>5555.5555555555557</v>
      </c>
      <c r="F15" s="70">
        <v>0.3</v>
      </c>
      <c r="G15" s="17">
        <v>0.3</v>
      </c>
      <c r="H15" s="70">
        <f t="shared" si="0"/>
        <v>500</v>
      </c>
      <c r="I15" s="18" t="s">
        <v>127</v>
      </c>
      <c r="J15" s="18">
        <f>B15*194/100000</f>
        <v>0.97</v>
      </c>
      <c r="K15" s="85" t="s">
        <v>531</v>
      </c>
      <c r="L15" s="28"/>
      <c r="M15" s="28"/>
    </row>
    <row r="16" spans="1:13" ht="15" customHeight="1">
      <c r="A16" s="154" t="s">
        <v>19</v>
      </c>
      <c r="B16" s="18">
        <v>1500</v>
      </c>
      <c r="C16" s="14" t="s">
        <v>20</v>
      </c>
      <c r="D16" s="12" t="s">
        <v>240</v>
      </c>
      <c r="E16" s="17">
        <f t="shared" si="1"/>
        <v>1000</v>
      </c>
      <c r="F16" s="70">
        <v>1.5</v>
      </c>
      <c r="G16" s="17">
        <v>1</v>
      </c>
      <c r="H16" s="70">
        <f t="shared" si="0"/>
        <v>1500</v>
      </c>
      <c r="I16" s="18" t="s">
        <v>127</v>
      </c>
      <c r="J16" s="18">
        <f>B16*194/100000</f>
        <v>2.91</v>
      </c>
      <c r="K16" s="135" t="s">
        <v>532</v>
      </c>
      <c r="L16" s="28"/>
      <c r="M16" s="28"/>
    </row>
    <row r="17" spans="1:13" ht="15" customHeight="1">
      <c r="A17" s="155"/>
      <c r="B17" s="18">
        <v>1500</v>
      </c>
      <c r="C17" s="14" t="s">
        <v>20</v>
      </c>
      <c r="D17" s="12" t="s">
        <v>241</v>
      </c>
      <c r="E17" s="17">
        <f t="shared" si="1"/>
        <v>1000</v>
      </c>
      <c r="F17" s="17">
        <v>1.5</v>
      </c>
      <c r="G17" s="17">
        <v>1</v>
      </c>
      <c r="H17" s="70">
        <f t="shared" si="0"/>
        <v>1500</v>
      </c>
      <c r="I17" s="18" t="s">
        <v>127</v>
      </c>
      <c r="J17" s="93">
        <f t="shared" ref="J17:J21" si="2">B17*194/100000</f>
        <v>2.91</v>
      </c>
      <c r="K17" s="136"/>
      <c r="L17" s="28"/>
      <c r="M17" s="28"/>
    </row>
    <row r="18" spans="1:13" ht="15" customHeight="1">
      <c r="A18" s="155"/>
      <c r="B18" s="18">
        <v>1500</v>
      </c>
      <c r="C18" s="14" t="s">
        <v>20</v>
      </c>
      <c r="D18" s="12" t="s">
        <v>242</v>
      </c>
      <c r="E18" s="17">
        <f t="shared" si="1"/>
        <v>1000</v>
      </c>
      <c r="F18" s="17">
        <v>1.5</v>
      </c>
      <c r="G18" s="17">
        <v>1</v>
      </c>
      <c r="H18" s="70">
        <f t="shared" si="0"/>
        <v>1500</v>
      </c>
      <c r="I18" s="18" t="s">
        <v>127</v>
      </c>
      <c r="J18" s="93">
        <f t="shared" si="2"/>
        <v>2.91</v>
      </c>
      <c r="K18" s="136"/>
      <c r="L18" s="28"/>
      <c r="M18" s="28"/>
    </row>
    <row r="19" spans="1:13" ht="15" customHeight="1">
      <c r="A19" s="155"/>
      <c r="B19" s="18">
        <v>1500</v>
      </c>
      <c r="C19" s="14" t="s">
        <v>20</v>
      </c>
      <c r="D19" s="12" t="s">
        <v>243</v>
      </c>
      <c r="E19" s="17">
        <f t="shared" si="1"/>
        <v>1000</v>
      </c>
      <c r="F19" s="17">
        <v>1.5</v>
      </c>
      <c r="G19" s="17">
        <v>1</v>
      </c>
      <c r="H19" s="70">
        <f t="shared" si="0"/>
        <v>1500</v>
      </c>
      <c r="I19" s="18" t="s">
        <v>127</v>
      </c>
      <c r="J19" s="93">
        <f t="shared" si="2"/>
        <v>2.91</v>
      </c>
      <c r="K19" s="136"/>
      <c r="L19" s="28"/>
      <c r="M19" s="28"/>
    </row>
    <row r="20" spans="1:13" ht="15" customHeight="1">
      <c r="A20" s="155"/>
      <c r="B20" s="18">
        <v>1500</v>
      </c>
      <c r="C20" s="14" t="s">
        <v>20</v>
      </c>
      <c r="D20" s="12" t="s">
        <v>244</v>
      </c>
      <c r="E20" s="17">
        <f t="shared" si="1"/>
        <v>1000</v>
      </c>
      <c r="F20" s="17">
        <v>1.5</v>
      </c>
      <c r="G20" s="17">
        <v>1</v>
      </c>
      <c r="H20" s="70">
        <f t="shared" si="0"/>
        <v>1500</v>
      </c>
      <c r="I20" s="18" t="s">
        <v>127</v>
      </c>
      <c r="J20" s="93">
        <f t="shared" si="2"/>
        <v>2.91</v>
      </c>
      <c r="K20" s="136"/>
      <c r="L20" s="28"/>
      <c r="M20" s="28"/>
    </row>
    <row r="21" spans="1:13" ht="15" customHeight="1">
      <c r="A21" s="155"/>
      <c r="B21" s="18">
        <v>1500</v>
      </c>
      <c r="C21" s="14" t="s">
        <v>20</v>
      </c>
      <c r="D21" s="12" t="s">
        <v>245</v>
      </c>
      <c r="E21" s="17">
        <f t="shared" si="1"/>
        <v>1000</v>
      </c>
      <c r="F21" s="17">
        <v>1.5</v>
      </c>
      <c r="G21" s="17">
        <v>1</v>
      </c>
      <c r="H21" s="70">
        <f t="shared" si="0"/>
        <v>1500</v>
      </c>
      <c r="I21" s="18" t="s">
        <v>127</v>
      </c>
      <c r="J21" s="93">
        <f t="shared" si="2"/>
        <v>2.91</v>
      </c>
      <c r="K21" s="137"/>
      <c r="L21" s="28"/>
      <c r="M21" s="28"/>
    </row>
    <row r="22" spans="1:13" ht="15" customHeight="1">
      <c r="A22" s="155"/>
      <c r="B22" s="187"/>
      <c r="C22" s="188"/>
      <c r="D22" s="189"/>
      <c r="E22" s="187"/>
      <c r="F22" s="187"/>
      <c r="G22" s="187"/>
      <c r="H22" s="187"/>
      <c r="I22" s="187"/>
      <c r="J22" s="187"/>
      <c r="K22" s="1"/>
      <c r="L22" s="28"/>
      <c r="M22" s="28"/>
    </row>
    <row r="23" spans="1:13" ht="15" customHeight="1">
      <c r="A23" s="155"/>
      <c r="B23" s="194">
        <v>1500</v>
      </c>
      <c r="C23" s="229" t="s">
        <v>20</v>
      </c>
      <c r="D23" s="196" t="s">
        <v>246</v>
      </c>
      <c r="E23" s="195">
        <f t="shared" si="1"/>
        <v>1000</v>
      </c>
      <c r="F23" s="195">
        <v>1.5</v>
      </c>
      <c r="G23" s="195">
        <v>1</v>
      </c>
      <c r="H23" s="217">
        <f t="shared" si="0"/>
        <v>1500</v>
      </c>
      <c r="I23" s="194" t="s">
        <v>127</v>
      </c>
      <c r="J23" s="194">
        <f>B23*194/100000</f>
        <v>2.91</v>
      </c>
      <c r="K23" s="163" t="s">
        <v>533</v>
      </c>
      <c r="L23" s="28"/>
      <c r="M23" s="28"/>
    </row>
    <row r="24" spans="1:13" ht="15" customHeight="1">
      <c r="A24" s="155"/>
      <c r="B24" s="194">
        <v>1500</v>
      </c>
      <c r="C24" s="229" t="s">
        <v>20</v>
      </c>
      <c r="D24" s="196" t="s">
        <v>247</v>
      </c>
      <c r="E24" s="195">
        <f t="shared" si="1"/>
        <v>1000</v>
      </c>
      <c r="F24" s="195">
        <v>1.5</v>
      </c>
      <c r="G24" s="195">
        <v>1</v>
      </c>
      <c r="H24" s="217">
        <f t="shared" si="0"/>
        <v>1500</v>
      </c>
      <c r="I24" s="194" t="s">
        <v>127</v>
      </c>
      <c r="J24" s="194">
        <f t="shared" ref="J24:J30" si="3">B24*194/100000</f>
        <v>2.91</v>
      </c>
      <c r="K24" s="164"/>
      <c r="L24" s="28"/>
      <c r="M24" s="28"/>
    </row>
    <row r="25" spans="1:13" ht="15" customHeight="1">
      <c r="A25" s="155"/>
      <c r="B25" s="194">
        <v>1500</v>
      </c>
      <c r="C25" s="229" t="s">
        <v>20</v>
      </c>
      <c r="D25" s="196" t="s">
        <v>248</v>
      </c>
      <c r="E25" s="195">
        <f t="shared" si="1"/>
        <v>1000</v>
      </c>
      <c r="F25" s="195">
        <v>1.5</v>
      </c>
      <c r="G25" s="195">
        <v>1</v>
      </c>
      <c r="H25" s="217">
        <f t="shared" si="0"/>
        <v>1500</v>
      </c>
      <c r="I25" s="194" t="s">
        <v>127</v>
      </c>
      <c r="J25" s="194">
        <f t="shared" si="3"/>
        <v>2.91</v>
      </c>
      <c r="K25" s="164"/>
      <c r="L25" s="28"/>
      <c r="M25" s="28"/>
    </row>
    <row r="26" spans="1:13" ht="15" customHeight="1">
      <c r="A26" s="155"/>
      <c r="B26" s="194">
        <v>1500</v>
      </c>
      <c r="C26" s="229" t="s">
        <v>20</v>
      </c>
      <c r="D26" s="196" t="s">
        <v>249</v>
      </c>
      <c r="E26" s="195">
        <f t="shared" si="1"/>
        <v>1000</v>
      </c>
      <c r="F26" s="195">
        <v>1.5</v>
      </c>
      <c r="G26" s="195">
        <v>1</v>
      </c>
      <c r="H26" s="217">
        <f t="shared" si="0"/>
        <v>1500</v>
      </c>
      <c r="I26" s="194" t="s">
        <v>127</v>
      </c>
      <c r="J26" s="194">
        <f t="shared" si="3"/>
        <v>2.91</v>
      </c>
      <c r="K26" s="164"/>
      <c r="L26" s="28"/>
      <c r="M26" s="28"/>
    </row>
    <row r="27" spans="1:13" ht="15" customHeight="1">
      <c r="A27" s="155"/>
      <c r="B27" s="194">
        <v>1500</v>
      </c>
      <c r="C27" s="262" t="s">
        <v>232</v>
      </c>
      <c r="D27" s="196" t="s">
        <v>250</v>
      </c>
      <c r="E27" s="195">
        <f>1/(F27*G27)*B27</f>
        <v>1500</v>
      </c>
      <c r="F27" s="195">
        <v>1</v>
      </c>
      <c r="G27" s="195">
        <v>1</v>
      </c>
      <c r="H27" s="217">
        <f t="shared" si="0"/>
        <v>1500</v>
      </c>
      <c r="I27" s="194" t="s">
        <v>127</v>
      </c>
      <c r="J27" s="194">
        <f t="shared" si="3"/>
        <v>2.91</v>
      </c>
      <c r="K27" s="164"/>
      <c r="L27" s="28"/>
      <c r="M27" s="28"/>
    </row>
    <row r="28" spans="1:13" ht="15" customHeight="1">
      <c r="A28" s="155"/>
      <c r="B28" s="194">
        <v>1500</v>
      </c>
      <c r="C28" s="262" t="s">
        <v>232</v>
      </c>
      <c r="D28" s="196" t="s">
        <v>251</v>
      </c>
      <c r="E28" s="195">
        <f t="shared" si="1"/>
        <v>1500</v>
      </c>
      <c r="F28" s="195">
        <v>1</v>
      </c>
      <c r="G28" s="195">
        <v>1</v>
      </c>
      <c r="H28" s="217">
        <f t="shared" si="0"/>
        <v>1500</v>
      </c>
      <c r="I28" s="194" t="s">
        <v>127</v>
      </c>
      <c r="J28" s="194">
        <f t="shared" si="3"/>
        <v>2.91</v>
      </c>
      <c r="K28" s="164"/>
      <c r="L28" s="28"/>
      <c r="M28" s="28"/>
    </row>
    <row r="29" spans="1:13" ht="15" customHeight="1">
      <c r="A29" s="155"/>
      <c r="B29" s="194">
        <v>1500</v>
      </c>
      <c r="C29" s="262" t="s">
        <v>232</v>
      </c>
      <c r="D29" s="196" t="s">
        <v>252</v>
      </c>
      <c r="E29" s="195">
        <f>1/(F29*G29)*B29</f>
        <v>75</v>
      </c>
      <c r="F29" s="195">
        <v>20</v>
      </c>
      <c r="G29" s="195">
        <v>1</v>
      </c>
      <c r="H29" s="217">
        <f>G29*F29*E29</f>
        <v>1500</v>
      </c>
      <c r="I29" s="194" t="s">
        <v>127</v>
      </c>
      <c r="J29" s="194">
        <f t="shared" si="3"/>
        <v>2.91</v>
      </c>
      <c r="K29" s="164"/>
      <c r="L29" s="28"/>
      <c r="M29" s="28"/>
    </row>
    <row r="30" spans="1:13" ht="15" customHeight="1">
      <c r="A30" s="155"/>
      <c r="B30" s="194">
        <v>1500</v>
      </c>
      <c r="C30" s="262" t="s">
        <v>179</v>
      </c>
      <c r="D30" s="196" t="s">
        <v>253</v>
      </c>
      <c r="E30" s="195">
        <f t="shared" ref="E30" si="4">1/(F30*G30)*B30</f>
        <v>75</v>
      </c>
      <c r="F30" s="195">
        <v>20</v>
      </c>
      <c r="G30" s="195">
        <v>1</v>
      </c>
      <c r="H30" s="217">
        <f t="shared" ref="H30" si="5">G30*F30*E30</f>
        <v>1500</v>
      </c>
      <c r="I30" s="194" t="s">
        <v>127</v>
      </c>
      <c r="J30" s="194">
        <f t="shared" si="3"/>
        <v>2.91</v>
      </c>
      <c r="K30" s="165"/>
      <c r="L30" s="28"/>
      <c r="M30" s="28"/>
    </row>
    <row r="31" spans="1:13" ht="15" customHeight="1">
      <c r="A31" s="60"/>
      <c r="B31" s="190"/>
      <c r="C31" s="191"/>
      <c r="D31" s="199"/>
      <c r="E31" s="190"/>
      <c r="F31" s="190"/>
      <c r="G31" s="190"/>
      <c r="H31" s="190"/>
      <c r="I31" s="190"/>
      <c r="J31" s="190"/>
      <c r="K31" s="1"/>
      <c r="L31" s="28"/>
      <c r="M31" s="28"/>
    </row>
    <row r="32" spans="1:13" ht="15" customHeight="1">
      <c r="A32" s="36" t="s">
        <v>21</v>
      </c>
      <c r="B32" s="236"/>
      <c r="C32" s="201"/>
      <c r="D32" s="201"/>
      <c r="E32" s="201"/>
      <c r="F32" s="201"/>
      <c r="G32" s="201"/>
      <c r="H32" s="201"/>
      <c r="I32" s="201"/>
      <c r="J32" s="201"/>
      <c r="K32" s="1"/>
      <c r="L32" s="28"/>
      <c r="M32" s="28"/>
    </row>
    <row r="33" spans="1:13" ht="15" customHeight="1">
      <c r="A33" s="156" t="s">
        <v>28</v>
      </c>
      <c r="B33" s="194">
        <v>20</v>
      </c>
      <c r="C33" s="196" t="s">
        <v>66</v>
      </c>
      <c r="D33" s="37" t="s">
        <v>563</v>
      </c>
      <c r="E33" s="195">
        <v>3.05</v>
      </c>
      <c r="F33" s="195">
        <v>2</v>
      </c>
      <c r="G33" s="195">
        <v>2.2000000000000002</v>
      </c>
      <c r="H33" s="195">
        <f t="shared" ref="H33:H67" si="6">G33*F33*E33</f>
        <v>13.42</v>
      </c>
      <c r="I33" s="194" t="s">
        <v>577</v>
      </c>
      <c r="J33" s="194">
        <f>93880/100000</f>
        <v>0.93879999999999997</v>
      </c>
      <c r="K33" s="85" t="s">
        <v>534</v>
      </c>
      <c r="L33" s="28"/>
      <c r="M33" s="28"/>
    </row>
    <row r="34" spans="1:13" ht="15" customHeight="1">
      <c r="A34" s="157"/>
      <c r="B34" s="194">
        <v>50</v>
      </c>
      <c r="C34" s="75" t="s">
        <v>67</v>
      </c>
      <c r="D34" s="37" t="s">
        <v>562</v>
      </c>
      <c r="E34" s="195">
        <v>3.05</v>
      </c>
      <c r="F34" s="195">
        <v>2</v>
      </c>
      <c r="G34" s="195">
        <v>2.2000000000000002</v>
      </c>
      <c r="H34" s="195">
        <f t="shared" si="6"/>
        <v>13.42</v>
      </c>
      <c r="I34" s="194" t="s">
        <v>577</v>
      </c>
      <c r="J34" s="194">
        <f>369700/100000</f>
        <v>3.6970000000000001</v>
      </c>
      <c r="K34" s="85" t="s">
        <v>535</v>
      </c>
      <c r="L34" s="28"/>
      <c r="M34" s="28"/>
    </row>
    <row r="35" spans="1:13" ht="15" customHeight="1">
      <c r="A35" s="156" t="s">
        <v>29</v>
      </c>
      <c r="B35" s="194">
        <v>780</v>
      </c>
      <c r="C35" s="209" t="s">
        <v>30</v>
      </c>
      <c r="D35" s="196" t="s">
        <v>237</v>
      </c>
      <c r="E35" s="195">
        <f t="shared" ref="E35:E58" si="7">1/(F35*G35)*B35</f>
        <v>95.823095823095812</v>
      </c>
      <c r="F35" s="195">
        <v>3.7</v>
      </c>
      <c r="G35" s="195">
        <v>2.2000000000000002</v>
      </c>
      <c r="H35" s="195">
        <f t="shared" si="6"/>
        <v>780</v>
      </c>
      <c r="I35" s="194" t="s">
        <v>127</v>
      </c>
      <c r="J35" s="194">
        <f>B35*194/100000</f>
        <v>1.5132000000000001</v>
      </c>
      <c r="K35" s="163" t="s">
        <v>536</v>
      </c>
      <c r="L35" s="28"/>
      <c r="M35" s="28"/>
    </row>
    <row r="36" spans="1:13" ht="15" customHeight="1">
      <c r="A36" s="157"/>
      <c r="B36" s="194">
        <v>780</v>
      </c>
      <c r="C36" s="239" t="s">
        <v>30</v>
      </c>
      <c r="D36" s="196" t="s">
        <v>237</v>
      </c>
      <c r="E36" s="195">
        <f t="shared" si="7"/>
        <v>95.823095823095812</v>
      </c>
      <c r="F36" s="195">
        <v>3.7</v>
      </c>
      <c r="G36" s="195">
        <v>2.2000000000000002</v>
      </c>
      <c r="H36" s="195">
        <f t="shared" si="6"/>
        <v>780</v>
      </c>
      <c r="I36" s="194" t="s">
        <v>127</v>
      </c>
      <c r="J36" s="194">
        <f t="shared" ref="J36:J58" si="8">B36*194/100000</f>
        <v>1.5132000000000001</v>
      </c>
      <c r="K36" s="164"/>
      <c r="L36" s="28"/>
      <c r="M36" s="28"/>
    </row>
    <row r="37" spans="1:13" ht="15" customHeight="1">
      <c r="A37" s="157"/>
      <c r="B37" s="194">
        <v>780</v>
      </c>
      <c r="C37" s="239" t="s">
        <v>30</v>
      </c>
      <c r="D37" s="196" t="s">
        <v>237</v>
      </c>
      <c r="E37" s="195">
        <f t="shared" si="7"/>
        <v>95.823095823095812</v>
      </c>
      <c r="F37" s="195">
        <v>3.7</v>
      </c>
      <c r="G37" s="195">
        <v>2.2000000000000002</v>
      </c>
      <c r="H37" s="195">
        <f t="shared" si="6"/>
        <v>780</v>
      </c>
      <c r="I37" s="194" t="s">
        <v>127</v>
      </c>
      <c r="J37" s="194">
        <f t="shared" si="8"/>
        <v>1.5132000000000001</v>
      </c>
      <c r="K37" s="164"/>
      <c r="L37" s="28"/>
      <c r="M37" s="28"/>
    </row>
    <row r="38" spans="1:13" ht="15" customHeight="1">
      <c r="A38" s="157"/>
      <c r="B38" s="194">
        <v>780</v>
      </c>
      <c r="C38" s="239" t="s">
        <v>30</v>
      </c>
      <c r="D38" s="196" t="s">
        <v>237</v>
      </c>
      <c r="E38" s="195">
        <f t="shared" si="7"/>
        <v>95.823095823095812</v>
      </c>
      <c r="F38" s="195">
        <v>3.7</v>
      </c>
      <c r="G38" s="195">
        <v>2.2000000000000002</v>
      </c>
      <c r="H38" s="195">
        <f t="shared" si="6"/>
        <v>780</v>
      </c>
      <c r="I38" s="194" t="s">
        <v>127</v>
      </c>
      <c r="J38" s="194">
        <f t="shared" si="8"/>
        <v>1.5132000000000001</v>
      </c>
      <c r="K38" s="164"/>
      <c r="L38" s="28"/>
      <c r="M38" s="28"/>
    </row>
    <row r="39" spans="1:13" ht="15" customHeight="1">
      <c r="A39" s="157"/>
      <c r="B39" s="194">
        <v>780</v>
      </c>
      <c r="C39" s="239" t="s">
        <v>30</v>
      </c>
      <c r="D39" s="196" t="s">
        <v>237</v>
      </c>
      <c r="E39" s="195">
        <f t="shared" si="7"/>
        <v>95.823095823095812</v>
      </c>
      <c r="F39" s="195">
        <v>3.7</v>
      </c>
      <c r="G39" s="195">
        <v>2.2000000000000002</v>
      </c>
      <c r="H39" s="195">
        <f t="shared" si="6"/>
        <v>780</v>
      </c>
      <c r="I39" s="194" t="s">
        <v>127</v>
      </c>
      <c r="J39" s="194">
        <f t="shared" si="8"/>
        <v>1.5132000000000001</v>
      </c>
      <c r="K39" s="164"/>
      <c r="L39" s="28"/>
      <c r="M39" s="28"/>
    </row>
    <row r="40" spans="1:13" ht="15" customHeight="1">
      <c r="A40" s="157"/>
      <c r="B40" s="194">
        <v>780</v>
      </c>
      <c r="C40" s="239" t="s">
        <v>30</v>
      </c>
      <c r="D40" s="196" t="s">
        <v>237</v>
      </c>
      <c r="E40" s="195">
        <f t="shared" si="7"/>
        <v>95.823095823095812</v>
      </c>
      <c r="F40" s="195">
        <v>3.7</v>
      </c>
      <c r="G40" s="195">
        <v>2.2000000000000002</v>
      </c>
      <c r="H40" s="195">
        <f t="shared" si="6"/>
        <v>780</v>
      </c>
      <c r="I40" s="194" t="s">
        <v>127</v>
      </c>
      <c r="J40" s="194">
        <f t="shared" si="8"/>
        <v>1.5132000000000001</v>
      </c>
      <c r="K40" s="164"/>
      <c r="L40" s="28"/>
      <c r="M40" s="28"/>
    </row>
    <row r="41" spans="1:13" ht="15" customHeight="1">
      <c r="A41" s="157"/>
      <c r="B41" s="194">
        <v>780</v>
      </c>
      <c r="C41" s="239" t="s">
        <v>30</v>
      </c>
      <c r="D41" s="196" t="s">
        <v>237</v>
      </c>
      <c r="E41" s="195">
        <f t="shared" si="7"/>
        <v>95.823095823095812</v>
      </c>
      <c r="F41" s="195">
        <v>3.7</v>
      </c>
      <c r="G41" s="195">
        <v>2.2000000000000002</v>
      </c>
      <c r="H41" s="195">
        <f t="shared" si="6"/>
        <v>780</v>
      </c>
      <c r="I41" s="194" t="s">
        <v>127</v>
      </c>
      <c r="J41" s="194">
        <f t="shared" si="8"/>
        <v>1.5132000000000001</v>
      </c>
      <c r="K41" s="164"/>
      <c r="L41" s="28"/>
      <c r="M41" s="28"/>
    </row>
    <row r="42" spans="1:13" ht="15" customHeight="1">
      <c r="A42" s="157"/>
      <c r="B42" s="194">
        <v>780</v>
      </c>
      <c r="C42" s="239" t="s">
        <v>30</v>
      </c>
      <c r="D42" s="196" t="s">
        <v>237</v>
      </c>
      <c r="E42" s="195">
        <f t="shared" ref="E42:E51" si="9">1/(F42*G42)*B42</f>
        <v>95.823095823095812</v>
      </c>
      <c r="F42" s="195">
        <v>3.7</v>
      </c>
      <c r="G42" s="195">
        <v>2.2000000000000002</v>
      </c>
      <c r="H42" s="195">
        <f t="shared" ref="H42:H51" si="10">G42*F42*E42</f>
        <v>780</v>
      </c>
      <c r="I42" s="194" t="s">
        <v>127</v>
      </c>
      <c r="J42" s="194">
        <f t="shared" si="8"/>
        <v>1.5132000000000001</v>
      </c>
      <c r="K42" s="164"/>
      <c r="L42" s="28"/>
      <c r="M42" s="28"/>
    </row>
    <row r="43" spans="1:13" ht="15" customHeight="1">
      <c r="A43" s="157"/>
      <c r="B43" s="194">
        <v>780</v>
      </c>
      <c r="C43" s="239" t="s">
        <v>30</v>
      </c>
      <c r="D43" s="196" t="s">
        <v>237</v>
      </c>
      <c r="E43" s="195">
        <f t="shared" si="9"/>
        <v>95.823095823095812</v>
      </c>
      <c r="F43" s="195">
        <v>3.7</v>
      </c>
      <c r="G43" s="195">
        <v>2.2000000000000002</v>
      </c>
      <c r="H43" s="195">
        <f t="shared" si="10"/>
        <v>780</v>
      </c>
      <c r="I43" s="194" t="s">
        <v>127</v>
      </c>
      <c r="J43" s="194">
        <f t="shared" si="8"/>
        <v>1.5132000000000001</v>
      </c>
      <c r="K43" s="164"/>
      <c r="L43" s="28"/>
      <c r="M43" s="28"/>
    </row>
    <row r="44" spans="1:13" ht="15" customHeight="1">
      <c r="A44" s="157"/>
      <c r="B44" s="194">
        <v>780</v>
      </c>
      <c r="C44" s="239" t="s">
        <v>30</v>
      </c>
      <c r="D44" s="196" t="s">
        <v>237</v>
      </c>
      <c r="E44" s="195">
        <f t="shared" si="9"/>
        <v>95.823095823095812</v>
      </c>
      <c r="F44" s="195">
        <v>3.7</v>
      </c>
      <c r="G44" s="195">
        <v>2.2000000000000002</v>
      </c>
      <c r="H44" s="195">
        <f t="shared" si="10"/>
        <v>780</v>
      </c>
      <c r="I44" s="194" t="s">
        <v>127</v>
      </c>
      <c r="J44" s="194">
        <f t="shared" si="8"/>
        <v>1.5132000000000001</v>
      </c>
      <c r="K44" s="164"/>
      <c r="L44" s="28"/>
      <c r="M44" s="28"/>
    </row>
    <row r="45" spans="1:13" ht="15" customHeight="1">
      <c r="A45" s="157"/>
      <c r="B45" s="194">
        <v>780</v>
      </c>
      <c r="C45" s="239" t="s">
        <v>30</v>
      </c>
      <c r="D45" s="196" t="s">
        <v>237</v>
      </c>
      <c r="E45" s="195">
        <f t="shared" si="9"/>
        <v>95.823095823095812</v>
      </c>
      <c r="F45" s="195">
        <v>3.7</v>
      </c>
      <c r="G45" s="195">
        <v>2.2000000000000002</v>
      </c>
      <c r="H45" s="195">
        <f t="shared" si="10"/>
        <v>780</v>
      </c>
      <c r="I45" s="194" t="s">
        <v>127</v>
      </c>
      <c r="J45" s="194">
        <f t="shared" si="8"/>
        <v>1.5132000000000001</v>
      </c>
      <c r="K45" s="164"/>
      <c r="L45" s="28"/>
      <c r="M45" s="28"/>
    </row>
    <row r="46" spans="1:13" ht="15" customHeight="1">
      <c r="A46" s="157"/>
      <c r="B46" s="194">
        <v>780</v>
      </c>
      <c r="C46" s="239" t="s">
        <v>30</v>
      </c>
      <c r="D46" s="196" t="s">
        <v>237</v>
      </c>
      <c r="E46" s="195">
        <f t="shared" si="9"/>
        <v>95.823095823095812</v>
      </c>
      <c r="F46" s="195">
        <v>3.7</v>
      </c>
      <c r="G46" s="195">
        <v>2.2000000000000002</v>
      </c>
      <c r="H46" s="195">
        <f t="shared" si="10"/>
        <v>780</v>
      </c>
      <c r="I46" s="194" t="s">
        <v>127</v>
      </c>
      <c r="J46" s="194">
        <f t="shared" si="8"/>
        <v>1.5132000000000001</v>
      </c>
      <c r="K46" s="164"/>
      <c r="L46" s="28"/>
      <c r="M46" s="28"/>
    </row>
    <row r="47" spans="1:13" ht="15" customHeight="1">
      <c r="A47" s="157"/>
      <c r="B47" s="194">
        <v>780</v>
      </c>
      <c r="C47" s="239" t="s">
        <v>30</v>
      </c>
      <c r="D47" s="196" t="s">
        <v>237</v>
      </c>
      <c r="E47" s="195">
        <f t="shared" si="9"/>
        <v>95.823095823095812</v>
      </c>
      <c r="F47" s="195">
        <v>3.7</v>
      </c>
      <c r="G47" s="195">
        <v>2.2000000000000002</v>
      </c>
      <c r="H47" s="195">
        <f t="shared" si="10"/>
        <v>780</v>
      </c>
      <c r="I47" s="194" t="s">
        <v>127</v>
      </c>
      <c r="J47" s="194">
        <f t="shared" si="8"/>
        <v>1.5132000000000001</v>
      </c>
      <c r="K47" s="164"/>
      <c r="L47" s="28"/>
      <c r="M47" s="28"/>
    </row>
    <row r="48" spans="1:13" ht="15" customHeight="1">
      <c r="A48" s="157"/>
      <c r="B48" s="194">
        <v>780</v>
      </c>
      <c r="C48" s="239" t="s">
        <v>30</v>
      </c>
      <c r="D48" s="196" t="s">
        <v>237</v>
      </c>
      <c r="E48" s="195">
        <f t="shared" si="9"/>
        <v>95.823095823095812</v>
      </c>
      <c r="F48" s="195">
        <v>3.7</v>
      </c>
      <c r="G48" s="195">
        <v>2.2000000000000002</v>
      </c>
      <c r="H48" s="195">
        <f t="shared" si="10"/>
        <v>780</v>
      </c>
      <c r="I48" s="194" t="s">
        <v>127</v>
      </c>
      <c r="J48" s="194">
        <f t="shared" si="8"/>
        <v>1.5132000000000001</v>
      </c>
      <c r="K48" s="164"/>
      <c r="L48" s="28"/>
      <c r="M48" s="28"/>
    </row>
    <row r="49" spans="1:13" ht="15" customHeight="1">
      <c r="A49" s="157"/>
      <c r="B49" s="194">
        <v>780</v>
      </c>
      <c r="C49" s="239" t="s">
        <v>30</v>
      </c>
      <c r="D49" s="196" t="s">
        <v>237</v>
      </c>
      <c r="E49" s="195">
        <f t="shared" si="9"/>
        <v>95.823095823095812</v>
      </c>
      <c r="F49" s="195">
        <v>3.7</v>
      </c>
      <c r="G49" s="195">
        <v>2.2000000000000002</v>
      </c>
      <c r="H49" s="195">
        <f t="shared" si="10"/>
        <v>780</v>
      </c>
      <c r="I49" s="194" t="s">
        <v>127</v>
      </c>
      <c r="J49" s="194">
        <f t="shared" si="8"/>
        <v>1.5132000000000001</v>
      </c>
      <c r="K49" s="164"/>
      <c r="L49" s="28"/>
      <c r="M49" s="28"/>
    </row>
    <row r="50" spans="1:13" ht="15" customHeight="1">
      <c r="A50" s="157"/>
      <c r="B50" s="194">
        <v>780</v>
      </c>
      <c r="C50" s="239" t="s">
        <v>30</v>
      </c>
      <c r="D50" s="196" t="s">
        <v>237</v>
      </c>
      <c r="E50" s="195">
        <f t="shared" si="9"/>
        <v>95.823095823095812</v>
      </c>
      <c r="F50" s="195">
        <v>3.7</v>
      </c>
      <c r="G50" s="195">
        <v>2.2000000000000002</v>
      </c>
      <c r="H50" s="195">
        <f t="shared" si="10"/>
        <v>780</v>
      </c>
      <c r="I50" s="194" t="s">
        <v>127</v>
      </c>
      <c r="J50" s="194">
        <f t="shared" si="8"/>
        <v>1.5132000000000001</v>
      </c>
      <c r="K50" s="164"/>
      <c r="L50" s="28"/>
      <c r="M50" s="28"/>
    </row>
    <row r="51" spans="1:13" ht="15" customHeight="1">
      <c r="A51" s="157"/>
      <c r="B51" s="194">
        <v>780</v>
      </c>
      <c r="C51" s="239" t="s">
        <v>30</v>
      </c>
      <c r="D51" s="196" t="s">
        <v>237</v>
      </c>
      <c r="E51" s="195">
        <f t="shared" si="9"/>
        <v>95.823095823095812</v>
      </c>
      <c r="F51" s="195">
        <v>3.7</v>
      </c>
      <c r="G51" s="195">
        <v>2.2000000000000002</v>
      </c>
      <c r="H51" s="195">
        <f t="shared" si="10"/>
        <v>780</v>
      </c>
      <c r="I51" s="194" t="s">
        <v>127</v>
      </c>
      <c r="J51" s="194">
        <f t="shared" si="8"/>
        <v>1.5132000000000001</v>
      </c>
      <c r="K51" s="164"/>
      <c r="L51" s="28"/>
      <c r="M51" s="28"/>
    </row>
    <row r="52" spans="1:13" ht="15" customHeight="1">
      <c r="A52" s="157"/>
      <c r="B52" s="194">
        <v>780</v>
      </c>
      <c r="C52" s="239" t="s">
        <v>30</v>
      </c>
      <c r="D52" s="196" t="s">
        <v>237</v>
      </c>
      <c r="E52" s="195">
        <f t="shared" si="7"/>
        <v>95.823095823095812</v>
      </c>
      <c r="F52" s="195">
        <v>3.7</v>
      </c>
      <c r="G52" s="195">
        <v>2.2000000000000002</v>
      </c>
      <c r="H52" s="195">
        <f t="shared" si="6"/>
        <v>780</v>
      </c>
      <c r="I52" s="194" t="s">
        <v>127</v>
      </c>
      <c r="J52" s="194">
        <f t="shared" si="8"/>
        <v>1.5132000000000001</v>
      </c>
      <c r="K52" s="164"/>
      <c r="L52" s="28"/>
      <c r="M52" s="28"/>
    </row>
    <row r="53" spans="1:13" ht="15" customHeight="1">
      <c r="A53" s="157"/>
      <c r="B53" s="194">
        <v>780</v>
      </c>
      <c r="C53" s="239" t="s">
        <v>30</v>
      </c>
      <c r="D53" s="196" t="s">
        <v>237</v>
      </c>
      <c r="E53" s="195">
        <f t="shared" si="7"/>
        <v>95.823095823095812</v>
      </c>
      <c r="F53" s="195">
        <v>3.7</v>
      </c>
      <c r="G53" s="195">
        <v>2.2000000000000002</v>
      </c>
      <c r="H53" s="195">
        <f t="shared" si="6"/>
        <v>780</v>
      </c>
      <c r="I53" s="194" t="s">
        <v>127</v>
      </c>
      <c r="J53" s="194">
        <f t="shared" si="8"/>
        <v>1.5132000000000001</v>
      </c>
      <c r="K53" s="164"/>
      <c r="L53" s="28"/>
      <c r="M53" s="28"/>
    </row>
    <row r="54" spans="1:13" ht="15" customHeight="1">
      <c r="A54" s="66"/>
      <c r="B54" s="194">
        <v>780</v>
      </c>
      <c r="C54" s="239" t="s">
        <v>30</v>
      </c>
      <c r="D54" s="196" t="s">
        <v>237</v>
      </c>
      <c r="E54" s="195">
        <f t="shared" si="7"/>
        <v>95.823095823095812</v>
      </c>
      <c r="F54" s="195">
        <v>3.7</v>
      </c>
      <c r="G54" s="195">
        <v>2.2000000000000002</v>
      </c>
      <c r="H54" s="195">
        <f t="shared" si="6"/>
        <v>780</v>
      </c>
      <c r="I54" s="194" t="s">
        <v>127</v>
      </c>
      <c r="J54" s="194">
        <f t="shared" si="8"/>
        <v>1.5132000000000001</v>
      </c>
      <c r="K54" s="164"/>
      <c r="L54" s="28"/>
      <c r="M54" s="28"/>
    </row>
    <row r="55" spans="1:13" ht="15" customHeight="1">
      <c r="A55" s="66"/>
      <c r="B55" s="194">
        <v>780</v>
      </c>
      <c r="C55" s="239" t="s">
        <v>30</v>
      </c>
      <c r="D55" s="196" t="s">
        <v>237</v>
      </c>
      <c r="E55" s="195">
        <f t="shared" si="7"/>
        <v>95.823095823095812</v>
      </c>
      <c r="F55" s="195">
        <v>3.7</v>
      </c>
      <c r="G55" s="195">
        <v>2.2000000000000002</v>
      </c>
      <c r="H55" s="195">
        <f t="shared" si="6"/>
        <v>780</v>
      </c>
      <c r="I55" s="194" t="s">
        <v>127</v>
      </c>
      <c r="J55" s="194">
        <f t="shared" si="8"/>
        <v>1.5132000000000001</v>
      </c>
      <c r="K55" s="164"/>
      <c r="L55" s="28"/>
      <c r="M55" s="28"/>
    </row>
    <row r="56" spans="1:13" ht="15" customHeight="1">
      <c r="A56" s="66"/>
      <c r="B56" s="194">
        <v>780</v>
      </c>
      <c r="C56" s="239" t="s">
        <v>30</v>
      </c>
      <c r="D56" s="196" t="s">
        <v>237</v>
      </c>
      <c r="E56" s="195">
        <f t="shared" si="7"/>
        <v>95.823095823095812</v>
      </c>
      <c r="F56" s="195">
        <v>3.7</v>
      </c>
      <c r="G56" s="195">
        <v>2.2000000000000002</v>
      </c>
      <c r="H56" s="195">
        <f t="shared" si="6"/>
        <v>780</v>
      </c>
      <c r="I56" s="194" t="s">
        <v>127</v>
      </c>
      <c r="J56" s="194">
        <f t="shared" si="8"/>
        <v>1.5132000000000001</v>
      </c>
      <c r="K56" s="164"/>
      <c r="L56" s="28"/>
      <c r="M56" s="28"/>
    </row>
    <row r="57" spans="1:13" ht="15" customHeight="1">
      <c r="A57" s="66"/>
      <c r="B57" s="194">
        <v>780</v>
      </c>
      <c r="C57" s="239" t="s">
        <v>30</v>
      </c>
      <c r="D57" s="196" t="s">
        <v>237</v>
      </c>
      <c r="E57" s="195">
        <f t="shared" si="7"/>
        <v>95.823095823095812</v>
      </c>
      <c r="F57" s="195">
        <v>3.7</v>
      </c>
      <c r="G57" s="195">
        <v>2.2000000000000002</v>
      </c>
      <c r="H57" s="195">
        <f t="shared" si="6"/>
        <v>780</v>
      </c>
      <c r="I57" s="194" t="s">
        <v>127</v>
      </c>
      <c r="J57" s="194">
        <f t="shared" si="8"/>
        <v>1.5132000000000001</v>
      </c>
      <c r="K57" s="164"/>
      <c r="L57" s="28"/>
      <c r="M57" s="28"/>
    </row>
    <row r="58" spans="1:13" ht="15" customHeight="1">
      <c r="A58" s="74"/>
      <c r="B58" s="194">
        <v>780</v>
      </c>
      <c r="C58" s="239" t="s">
        <v>30</v>
      </c>
      <c r="D58" s="196" t="s">
        <v>237</v>
      </c>
      <c r="E58" s="195">
        <f t="shared" si="7"/>
        <v>95.823095823095812</v>
      </c>
      <c r="F58" s="195">
        <v>3.7</v>
      </c>
      <c r="G58" s="195">
        <v>2.2000000000000002</v>
      </c>
      <c r="H58" s="195">
        <f t="shared" si="6"/>
        <v>780</v>
      </c>
      <c r="I58" s="194" t="s">
        <v>127</v>
      </c>
      <c r="J58" s="194">
        <f t="shared" si="8"/>
        <v>1.5132000000000001</v>
      </c>
      <c r="K58" s="165"/>
      <c r="L58" s="28"/>
      <c r="M58" s="28"/>
    </row>
    <row r="59" spans="1:13" ht="15" customHeight="1">
      <c r="A59" s="74"/>
      <c r="B59" s="187"/>
      <c r="C59" s="302"/>
      <c r="D59" s="189"/>
      <c r="E59" s="187"/>
      <c r="F59" s="187"/>
      <c r="G59" s="187"/>
      <c r="H59" s="187"/>
      <c r="I59" s="187"/>
      <c r="J59" s="187"/>
      <c r="K59" s="1"/>
      <c r="L59" s="28"/>
      <c r="M59" s="28"/>
    </row>
    <row r="60" spans="1:13" ht="15" customHeight="1">
      <c r="A60" s="59" t="s">
        <v>32</v>
      </c>
      <c r="B60" s="194"/>
      <c r="C60" s="268"/>
      <c r="D60" s="196"/>
      <c r="E60" s="195"/>
      <c r="F60" s="195"/>
      <c r="G60" s="195"/>
      <c r="H60" s="195"/>
      <c r="I60" s="194"/>
      <c r="J60" s="194"/>
      <c r="K60" s="1"/>
      <c r="L60" s="28"/>
      <c r="M60" s="28"/>
    </row>
    <row r="61" spans="1:13" ht="15" customHeight="1">
      <c r="A61" s="158" t="s">
        <v>96</v>
      </c>
      <c r="B61" s="304"/>
      <c r="C61" s="304"/>
      <c r="D61" s="304"/>
      <c r="E61" s="304"/>
      <c r="F61" s="304"/>
      <c r="G61" s="304"/>
      <c r="H61" s="304"/>
      <c r="I61" s="304"/>
      <c r="J61" s="304"/>
      <c r="K61" s="1"/>
      <c r="L61" s="28"/>
      <c r="M61" s="28"/>
    </row>
    <row r="62" spans="1:13" ht="15" customHeight="1">
      <c r="A62" s="158"/>
      <c r="B62" s="187">
        <v>20</v>
      </c>
      <c r="C62" s="218" t="s">
        <v>258</v>
      </c>
      <c r="D62" s="262" t="s">
        <v>239</v>
      </c>
      <c r="E62" s="195">
        <v>2.5</v>
      </c>
      <c r="F62" s="195">
        <v>2.5</v>
      </c>
      <c r="G62" s="195">
        <v>2</v>
      </c>
      <c r="H62" s="195">
        <f t="shared" ref="H62" si="11">G62*F62*E62</f>
        <v>12.5</v>
      </c>
      <c r="I62" s="194" t="s">
        <v>127</v>
      </c>
      <c r="J62" s="194">
        <f>43880/100000</f>
        <v>0.43880000000000002</v>
      </c>
      <c r="K62" s="85" t="s">
        <v>537</v>
      </c>
      <c r="L62" s="28"/>
      <c r="M62" s="28"/>
    </row>
    <row r="63" spans="1:13" ht="15" customHeight="1">
      <c r="A63" s="158"/>
      <c r="B63" s="206">
        <v>200</v>
      </c>
      <c r="C63" s="207" t="s">
        <v>117</v>
      </c>
      <c r="D63" s="262" t="s">
        <v>239</v>
      </c>
      <c r="E63" s="195">
        <v>100</v>
      </c>
      <c r="F63" s="195">
        <v>1</v>
      </c>
      <c r="G63" s="195">
        <v>1</v>
      </c>
      <c r="H63" s="195">
        <f>G63*F63*E63</f>
        <v>100</v>
      </c>
      <c r="I63" s="187" t="s">
        <v>127</v>
      </c>
      <c r="J63" s="194">
        <f>88800/100000</f>
        <v>0.88800000000000001</v>
      </c>
      <c r="K63" s="86" t="s">
        <v>538</v>
      </c>
      <c r="L63" s="28"/>
      <c r="M63" s="28"/>
    </row>
    <row r="64" spans="1:13" ht="15" customHeight="1">
      <c r="A64" s="159" t="s">
        <v>98</v>
      </c>
      <c r="B64" s="206">
        <v>200</v>
      </c>
      <c r="C64" s="209" t="s">
        <v>115</v>
      </c>
      <c r="D64" s="262" t="s">
        <v>239</v>
      </c>
      <c r="E64" s="269">
        <v>35</v>
      </c>
      <c r="F64" s="195">
        <v>3.5</v>
      </c>
      <c r="G64" s="195">
        <v>0.1</v>
      </c>
      <c r="H64" s="195">
        <f t="shared" si="6"/>
        <v>12.250000000000002</v>
      </c>
      <c r="I64" s="187" t="s">
        <v>127</v>
      </c>
      <c r="J64" s="194">
        <f>88800/100000</f>
        <v>0.88800000000000001</v>
      </c>
      <c r="K64" s="85" t="s">
        <v>539</v>
      </c>
      <c r="L64" s="28"/>
      <c r="M64" s="28"/>
    </row>
    <row r="65" spans="1:13" ht="28.5" customHeight="1">
      <c r="A65" s="160"/>
      <c r="B65" s="206">
        <v>500</v>
      </c>
      <c r="C65" s="270" t="s">
        <v>254</v>
      </c>
      <c r="D65" s="196" t="s">
        <v>256</v>
      </c>
      <c r="E65" s="195">
        <f>1/(F65*G65)*B65</f>
        <v>1428.5714285714284</v>
      </c>
      <c r="F65" s="195">
        <v>3.5</v>
      </c>
      <c r="G65" s="195">
        <v>0.1</v>
      </c>
      <c r="H65" s="195">
        <f t="shared" si="6"/>
        <v>500</v>
      </c>
      <c r="I65" s="194" t="s">
        <v>127</v>
      </c>
      <c r="J65" s="194">
        <f>147000/100000</f>
        <v>1.47</v>
      </c>
      <c r="K65" s="85" t="s">
        <v>540</v>
      </c>
      <c r="L65" s="28"/>
      <c r="M65" s="28"/>
    </row>
    <row r="66" spans="1:13">
      <c r="A66" s="161"/>
      <c r="B66" s="206">
        <v>924</v>
      </c>
      <c r="C66" s="270" t="s">
        <v>118</v>
      </c>
      <c r="D66" s="262" t="s">
        <v>239</v>
      </c>
      <c r="E66" s="195">
        <f>1/(F66*G66)*B66</f>
        <v>88</v>
      </c>
      <c r="F66" s="195">
        <v>3.5</v>
      </c>
      <c r="G66" s="195">
        <v>3</v>
      </c>
      <c r="H66" s="195">
        <f t="shared" ref="H66" si="12">G66*F66*E66</f>
        <v>924</v>
      </c>
      <c r="I66" s="194" t="s">
        <v>127</v>
      </c>
      <c r="J66" s="194">
        <f>B66*194/100000</f>
        <v>1.7925599999999999</v>
      </c>
      <c r="K66" s="86" t="s">
        <v>541</v>
      </c>
      <c r="L66" s="28"/>
      <c r="M66" s="28"/>
    </row>
    <row r="67" spans="1:13" ht="15" customHeight="1">
      <c r="A67" s="115" t="s">
        <v>114</v>
      </c>
      <c r="B67" s="206">
        <v>500</v>
      </c>
      <c r="C67" s="270" t="s">
        <v>52</v>
      </c>
      <c r="D67" s="37" t="s">
        <v>259</v>
      </c>
      <c r="E67" s="195">
        <v>3</v>
      </c>
      <c r="F67" s="195">
        <v>2</v>
      </c>
      <c r="G67" s="195">
        <v>1.2</v>
      </c>
      <c r="H67" s="195">
        <f t="shared" si="6"/>
        <v>7.1999999999999993</v>
      </c>
      <c r="I67" s="194" t="s">
        <v>127</v>
      </c>
      <c r="J67" s="194">
        <f>150880/100000</f>
        <v>1.5087999999999999</v>
      </c>
      <c r="K67" s="85" t="s">
        <v>542</v>
      </c>
      <c r="L67" s="28"/>
      <c r="M67" s="28"/>
    </row>
    <row r="68" spans="1:13" ht="15" customHeight="1">
      <c r="A68" s="115"/>
      <c r="B68" s="206">
        <v>500</v>
      </c>
      <c r="C68" s="270" t="s">
        <v>255</v>
      </c>
      <c r="D68" s="37" t="s">
        <v>64</v>
      </c>
      <c r="E68" s="195">
        <v>3</v>
      </c>
      <c r="F68" s="195">
        <v>2</v>
      </c>
      <c r="G68" s="195">
        <v>1.2</v>
      </c>
      <c r="H68" s="195">
        <f t="shared" ref="H68:H69" si="13">G68*F68*E68</f>
        <v>7.1999999999999993</v>
      </c>
      <c r="I68" s="194" t="s">
        <v>127</v>
      </c>
      <c r="J68" s="194">
        <f>147000/100000</f>
        <v>1.47</v>
      </c>
      <c r="K68" s="86" t="s">
        <v>543</v>
      </c>
      <c r="L68" s="28"/>
      <c r="M68" s="28"/>
    </row>
    <row r="69" spans="1:13" ht="15" customHeight="1">
      <c r="A69" s="115"/>
      <c r="B69" s="206">
        <v>500</v>
      </c>
      <c r="C69" s="270" t="s">
        <v>257</v>
      </c>
      <c r="D69" s="37" t="s">
        <v>65</v>
      </c>
      <c r="E69" s="195">
        <v>3</v>
      </c>
      <c r="F69" s="195">
        <v>2</v>
      </c>
      <c r="G69" s="195">
        <v>1.2</v>
      </c>
      <c r="H69" s="195">
        <f t="shared" si="13"/>
        <v>7.1999999999999993</v>
      </c>
      <c r="I69" s="194" t="s">
        <v>127</v>
      </c>
      <c r="J69" s="194">
        <f>183120/100000</f>
        <v>1.8311999999999999</v>
      </c>
      <c r="K69" s="86" t="s">
        <v>544</v>
      </c>
      <c r="L69" s="28"/>
      <c r="M69" s="28"/>
    </row>
    <row r="70" spans="1:13" ht="15" customHeight="1">
      <c r="A70" s="115"/>
      <c r="B70" s="187">
        <v>500</v>
      </c>
      <c r="C70" s="207" t="s">
        <v>134</v>
      </c>
      <c r="D70" s="262" t="s">
        <v>239</v>
      </c>
      <c r="E70" s="195">
        <f t="shared" ref="E70" si="14">1/(F70*G70)*B70</f>
        <v>2469.1358024691358</v>
      </c>
      <c r="F70" s="195">
        <v>0.45</v>
      </c>
      <c r="G70" s="195">
        <v>0.45</v>
      </c>
      <c r="H70" s="195">
        <f t="shared" ref="H70" si="15">G70*F70*E70</f>
        <v>500.00000000000006</v>
      </c>
      <c r="I70" s="194" t="s">
        <v>127</v>
      </c>
      <c r="J70" s="194">
        <f>137000/100000</f>
        <v>1.37</v>
      </c>
      <c r="K70" s="86" t="s">
        <v>545</v>
      </c>
      <c r="L70" s="28"/>
      <c r="M70" s="28"/>
    </row>
    <row r="71" spans="1:13" ht="15" customHeight="1">
      <c r="A71" s="66"/>
      <c r="B71" s="214">
        <f>SUM(B11:B70)</f>
        <v>45000</v>
      </c>
      <c r="C71" s="251"/>
      <c r="D71" s="252"/>
      <c r="E71" s="213"/>
      <c r="F71" s="213"/>
      <c r="G71" s="213"/>
      <c r="H71" s="213"/>
      <c r="I71" s="213"/>
      <c r="J71" s="253">
        <f>SUM(J11:J70)</f>
        <v>96.999999999999929</v>
      </c>
      <c r="K71" s="1"/>
      <c r="L71" s="28"/>
      <c r="M71" s="28"/>
    </row>
    <row r="72" spans="1:13" ht="15" customHeight="1">
      <c r="A72" s="66"/>
      <c r="B72" s="214"/>
      <c r="C72" s="210"/>
      <c r="D72" s="210"/>
      <c r="E72" s="210"/>
      <c r="F72" s="210"/>
      <c r="G72" s="210"/>
      <c r="H72" s="210"/>
      <c r="I72" s="210"/>
      <c r="J72" s="215">
        <f>E4/100000</f>
        <v>97</v>
      </c>
      <c r="K72" s="1"/>
      <c r="L72" s="28"/>
      <c r="M72" s="28"/>
    </row>
    <row r="73" spans="1:13" ht="15" customHeight="1">
      <c r="A73" s="66"/>
      <c r="B73" s="254">
        <f>B3*100</f>
        <v>45000</v>
      </c>
      <c r="C73" s="210"/>
      <c r="D73" s="210"/>
      <c r="E73" s="210"/>
      <c r="F73" s="210"/>
      <c r="G73" s="210"/>
      <c r="H73" s="210"/>
      <c r="I73" s="210"/>
      <c r="J73" s="255">
        <f>E2/100000</f>
        <v>87.3</v>
      </c>
      <c r="K73" s="1"/>
      <c r="L73" s="28"/>
      <c r="M73" s="28"/>
    </row>
    <row r="74" spans="1:13" ht="15" customHeight="1">
      <c r="A74" s="8" t="s">
        <v>38</v>
      </c>
      <c r="B74" s="210"/>
      <c r="C74" s="257">
        <f>E2/100000</f>
        <v>87.3</v>
      </c>
      <c r="D74" s="258" t="s">
        <v>39</v>
      </c>
      <c r="E74" s="210"/>
      <c r="F74" s="210"/>
      <c r="G74" s="210"/>
      <c r="H74" s="210"/>
      <c r="I74" s="210"/>
      <c r="J74" s="210"/>
      <c r="K74" s="1"/>
      <c r="L74" s="28"/>
      <c r="M74" s="28"/>
    </row>
    <row r="75" spans="1:13" ht="15" customHeight="1">
      <c r="A75" s="8" t="s">
        <v>40</v>
      </c>
      <c r="B75" s="210"/>
      <c r="C75" s="257">
        <f>C74*(1/9)</f>
        <v>9.6999999999999993</v>
      </c>
      <c r="D75" s="258" t="s">
        <v>39</v>
      </c>
      <c r="E75" s="210"/>
      <c r="F75" s="210"/>
      <c r="G75" s="210"/>
      <c r="H75" s="210"/>
      <c r="I75" s="210"/>
      <c r="J75" s="210"/>
      <c r="K75" s="48"/>
      <c r="L75" s="28"/>
      <c r="M75" s="28"/>
    </row>
    <row r="76" spans="1:13" ht="15" customHeight="1">
      <c r="A76" s="4" t="s">
        <v>108</v>
      </c>
      <c r="B76" s="210"/>
      <c r="C76" s="210"/>
      <c r="D76" s="210"/>
      <c r="E76" s="210"/>
      <c r="F76" s="210"/>
      <c r="G76" s="210"/>
      <c r="H76" s="210"/>
      <c r="I76" s="210"/>
      <c r="J76" s="259"/>
      <c r="K76" s="1"/>
      <c r="L76" s="28"/>
      <c r="M76" s="28"/>
    </row>
    <row r="77" spans="1:13">
      <c r="A77" s="1"/>
      <c r="B77" s="210"/>
      <c r="C77" s="210"/>
      <c r="D77" s="210"/>
      <c r="E77" s="210"/>
      <c r="F77" s="210"/>
      <c r="G77" s="210"/>
      <c r="H77" s="210"/>
      <c r="I77" s="210"/>
      <c r="J77" s="210"/>
      <c r="K77" s="1"/>
      <c r="L77" s="28"/>
      <c r="M77" s="28"/>
    </row>
    <row r="78" spans="1:13">
      <c r="A78" s="1"/>
      <c r="B78" s="210"/>
      <c r="C78" s="210"/>
      <c r="D78" s="210"/>
      <c r="E78" s="210"/>
      <c r="F78" s="210"/>
      <c r="G78" s="210"/>
      <c r="H78" s="210"/>
      <c r="I78" s="210"/>
      <c r="J78" s="210"/>
      <c r="K78" s="48"/>
      <c r="L78" s="28"/>
      <c r="M78" s="28"/>
    </row>
    <row r="79" spans="1:13">
      <c r="A79" s="28"/>
      <c r="B79" s="303"/>
      <c r="C79" s="303"/>
      <c r="D79" s="303"/>
      <c r="E79" s="303"/>
      <c r="F79" s="303"/>
      <c r="G79" s="303"/>
      <c r="H79" s="303"/>
      <c r="I79" s="303"/>
      <c r="J79" s="303"/>
      <c r="K79" s="28"/>
      <c r="L79" s="28"/>
      <c r="M79" s="28"/>
    </row>
    <row r="80" spans="1:13">
      <c r="B80" s="304"/>
      <c r="C80" s="304"/>
      <c r="D80" s="304"/>
      <c r="E80" s="304"/>
      <c r="F80" s="304"/>
      <c r="G80" s="304"/>
      <c r="H80" s="304"/>
      <c r="I80" s="304"/>
      <c r="J80" s="304"/>
    </row>
  </sheetData>
  <mergeCells count="23">
    <mergeCell ref="J7:J9"/>
    <mergeCell ref="A10:J10"/>
    <mergeCell ref="A14:A15"/>
    <mergeCell ref="A16:A30"/>
    <mergeCell ref="K7:K9"/>
    <mergeCell ref="A7:A8"/>
    <mergeCell ref="B7:B8"/>
    <mergeCell ref="C7:C8"/>
    <mergeCell ref="D7:D8"/>
    <mergeCell ref="E7:I8"/>
    <mergeCell ref="E2:G2"/>
    <mergeCell ref="E3:G3"/>
    <mergeCell ref="E4:G4"/>
    <mergeCell ref="E5:G5"/>
    <mergeCell ref="E6:G6"/>
    <mergeCell ref="A64:A66"/>
    <mergeCell ref="A67:A70"/>
    <mergeCell ref="K16:K21"/>
    <mergeCell ref="K23:K30"/>
    <mergeCell ref="A33:A34"/>
    <mergeCell ref="A35:A53"/>
    <mergeCell ref="A61:A63"/>
    <mergeCell ref="K35:K58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K40"/>
  <sheetViews>
    <sheetView tabSelected="1" workbookViewId="0">
      <selection activeCell="M26" sqref="M26"/>
    </sheetView>
  </sheetViews>
  <sheetFormatPr defaultRowHeight="15"/>
  <cols>
    <col min="1" max="1" width="20.85546875" customWidth="1"/>
    <col min="3" max="3" width="16.85546875" bestFit="1" customWidth="1"/>
    <col min="4" max="4" width="25.5703125" customWidth="1"/>
    <col min="8" max="8" width="12.7109375" bestFit="1" customWidth="1"/>
    <col min="9" max="9" width="11.85546875" bestFit="1" customWidth="1"/>
    <col min="10" max="10" width="15" bestFit="1" customWidth="1"/>
    <col min="11" max="11" width="19.42578125" bestFit="1" customWidth="1"/>
  </cols>
  <sheetData>
    <row r="1" spans="1:11">
      <c r="A1" s="10" t="s">
        <v>260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</row>
    <row r="2" spans="1:11">
      <c r="A2" s="2"/>
      <c r="B2" s="6"/>
      <c r="C2" s="3"/>
      <c r="D2" s="3" t="s">
        <v>0</v>
      </c>
      <c r="E2" s="138">
        <f>B3*194*100</f>
        <v>1920600</v>
      </c>
      <c r="F2" s="138"/>
      <c r="G2" s="138"/>
      <c r="H2" s="68"/>
      <c r="I2" s="68"/>
      <c r="J2" s="9"/>
      <c r="K2" s="1"/>
    </row>
    <row r="3" spans="1:11">
      <c r="A3" s="10" t="s">
        <v>1</v>
      </c>
      <c r="B3" s="6">
        <v>99</v>
      </c>
      <c r="C3" s="3"/>
      <c r="D3" s="3" t="s">
        <v>2</v>
      </c>
      <c r="E3" s="139">
        <f>E2*1/9</f>
        <v>213400</v>
      </c>
      <c r="F3" s="139"/>
      <c r="G3" s="139"/>
      <c r="H3" s="69"/>
      <c r="I3" s="69"/>
      <c r="J3" s="21"/>
      <c r="K3" s="1"/>
    </row>
    <row r="4" spans="1:11">
      <c r="A4" s="7"/>
      <c r="B4" s="5"/>
      <c r="C4" s="3"/>
      <c r="D4" s="3" t="s">
        <v>3</v>
      </c>
      <c r="E4" s="139">
        <f>SUM(E2:E3)</f>
        <v>2134000</v>
      </c>
      <c r="F4" s="139"/>
      <c r="G4" s="139"/>
      <c r="H4" s="69"/>
      <c r="I4" s="69"/>
      <c r="J4" s="9"/>
      <c r="K4" s="1"/>
    </row>
    <row r="5" spans="1:11">
      <c r="A5" s="7"/>
      <c r="B5" s="5"/>
      <c r="C5" s="3"/>
      <c r="D5" s="3" t="s">
        <v>4</v>
      </c>
      <c r="E5" s="139">
        <f>E4*0.06</f>
        <v>128040</v>
      </c>
      <c r="F5" s="139"/>
      <c r="G5" s="139"/>
      <c r="H5" s="69"/>
      <c r="I5" s="69"/>
      <c r="J5" s="9"/>
      <c r="K5" s="1"/>
    </row>
    <row r="6" spans="1:11">
      <c r="A6" s="7"/>
      <c r="B6" s="5"/>
      <c r="C6" s="3"/>
      <c r="D6" s="3" t="s">
        <v>5</v>
      </c>
      <c r="E6" s="140">
        <f>SUM(E4:E5)</f>
        <v>2262040</v>
      </c>
      <c r="F6" s="140"/>
      <c r="G6" s="140"/>
      <c r="H6" s="57"/>
      <c r="I6" s="57"/>
      <c r="J6" s="9"/>
      <c r="K6" s="1"/>
    </row>
    <row r="7" spans="1:1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576</v>
      </c>
      <c r="K7" s="150" t="s">
        <v>119</v>
      </c>
    </row>
    <row r="8" spans="1:11">
      <c r="A8" s="117"/>
      <c r="B8" s="118"/>
      <c r="C8" s="120"/>
      <c r="D8" s="122"/>
      <c r="E8" s="129"/>
      <c r="F8" s="130"/>
      <c r="G8" s="130"/>
      <c r="H8" s="130"/>
      <c r="I8" s="131"/>
      <c r="J8" s="149"/>
      <c r="K8" s="151"/>
    </row>
    <row r="9" spans="1:11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111"/>
      <c r="K9" s="152"/>
    </row>
    <row r="10" spans="1:11">
      <c r="A10" s="146" t="s">
        <v>11</v>
      </c>
      <c r="B10" s="147"/>
      <c r="C10" s="147"/>
      <c r="D10" s="147"/>
      <c r="E10" s="147"/>
      <c r="F10" s="147"/>
      <c r="G10" s="147"/>
      <c r="H10" s="147"/>
      <c r="I10" s="147"/>
      <c r="J10" s="148"/>
      <c r="K10" s="1"/>
    </row>
    <row r="11" spans="1:11" ht="30">
      <c r="A11" s="29" t="s">
        <v>12</v>
      </c>
      <c r="B11" s="70">
        <v>216</v>
      </c>
      <c r="C11" s="46" t="s">
        <v>189</v>
      </c>
      <c r="D11" s="73" t="s">
        <v>237</v>
      </c>
      <c r="E11" s="17">
        <v>6</v>
      </c>
      <c r="F11" s="70">
        <v>6</v>
      </c>
      <c r="G11" s="70">
        <v>2</v>
      </c>
      <c r="H11" s="70">
        <f t="shared" ref="H11:H20" si="0">G11*F11*E11</f>
        <v>72</v>
      </c>
      <c r="I11" s="18" t="s">
        <v>126</v>
      </c>
      <c r="J11" s="18">
        <f>B11*194/100000</f>
        <v>0.41904000000000002</v>
      </c>
      <c r="K11" s="86" t="s">
        <v>549</v>
      </c>
    </row>
    <row r="12" spans="1:11">
      <c r="A12" s="72" t="s">
        <v>151</v>
      </c>
      <c r="B12" s="18">
        <v>20</v>
      </c>
      <c r="C12" s="30" t="s">
        <v>152</v>
      </c>
      <c r="D12" s="30" t="s">
        <v>546</v>
      </c>
      <c r="E12" s="17">
        <v>3</v>
      </c>
      <c r="F12" s="70">
        <v>3</v>
      </c>
      <c r="G12" s="17">
        <v>2</v>
      </c>
      <c r="H12" s="70">
        <f t="shared" si="0"/>
        <v>18</v>
      </c>
      <c r="I12" s="18" t="s">
        <v>127</v>
      </c>
      <c r="J12" s="18">
        <f>23880/100000</f>
        <v>0.23880000000000001</v>
      </c>
      <c r="K12" s="85" t="s">
        <v>550</v>
      </c>
    </row>
    <row r="13" spans="1:11" ht="45">
      <c r="A13" s="72" t="s">
        <v>229</v>
      </c>
      <c r="B13" s="18">
        <v>20</v>
      </c>
      <c r="C13" s="30" t="s">
        <v>230</v>
      </c>
      <c r="D13" s="30" t="s">
        <v>546</v>
      </c>
      <c r="E13" s="17">
        <v>3</v>
      </c>
      <c r="F13" s="70">
        <v>3</v>
      </c>
      <c r="G13" s="17">
        <v>2</v>
      </c>
      <c r="H13" s="70">
        <f t="shared" si="0"/>
        <v>18</v>
      </c>
      <c r="I13" s="18" t="s">
        <v>127</v>
      </c>
      <c r="J13" s="18">
        <f>23880/100000</f>
        <v>0.23880000000000001</v>
      </c>
      <c r="K13" s="85" t="s">
        <v>551</v>
      </c>
    </row>
    <row r="14" spans="1:11">
      <c r="A14" s="153" t="s">
        <v>15</v>
      </c>
      <c r="B14" s="18">
        <v>100</v>
      </c>
      <c r="C14" s="11" t="s">
        <v>16</v>
      </c>
      <c r="D14" s="30" t="s">
        <v>546</v>
      </c>
      <c r="E14" s="17">
        <f t="shared" ref="E14:E20" si="1">1/(F14*G14)*B14</f>
        <v>1111.1111111111111</v>
      </c>
      <c r="F14" s="70">
        <v>0.3</v>
      </c>
      <c r="G14" s="17">
        <v>0.3</v>
      </c>
      <c r="H14" s="70">
        <f t="shared" si="0"/>
        <v>100</v>
      </c>
      <c r="I14" s="18" t="s">
        <v>127</v>
      </c>
      <c r="J14" s="18">
        <f>B14*194/100000</f>
        <v>0.19400000000000001</v>
      </c>
      <c r="K14" s="86" t="s">
        <v>552</v>
      </c>
    </row>
    <row r="15" spans="1:11" ht="30">
      <c r="A15" s="153"/>
      <c r="B15" s="18">
        <v>200</v>
      </c>
      <c r="C15" s="12" t="s">
        <v>188</v>
      </c>
      <c r="D15" s="30" t="s">
        <v>546</v>
      </c>
      <c r="E15" s="17">
        <f t="shared" si="1"/>
        <v>2222.2222222222222</v>
      </c>
      <c r="F15" s="70">
        <v>0.3</v>
      </c>
      <c r="G15" s="17">
        <v>0.3</v>
      </c>
      <c r="H15" s="70">
        <f t="shared" si="0"/>
        <v>200</v>
      </c>
      <c r="I15" s="18" t="s">
        <v>127</v>
      </c>
      <c r="J15" s="18">
        <f>B15*194/100000</f>
        <v>0.38800000000000001</v>
      </c>
      <c r="K15" s="85" t="s">
        <v>553</v>
      </c>
    </row>
    <row r="16" spans="1:11">
      <c r="A16" s="154" t="s">
        <v>19</v>
      </c>
      <c r="B16" s="18">
        <v>1500</v>
      </c>
      <c r="C16" s="14" t="s">
        <v>20</v>
      </c>
      <c r="D16" s="30" t="s">
        <v>546</v>
      </c>
      <c r="E16" s="17">
        <f t="shared" si="1"/>
        <v>1000</v>
      </c>
      <c r="F16" s="70">
        <v>1.5</v>
      </c>
      <c r="G16" s="17">
        <v>1</v>
      </c>
      <c r="H16" s="70">
        <f t="shared" si="0"/>
        <v>1500</v>
      </c>
      <c r="I16" s="18" t="s">
        <v>127</v>
      </c>
      <c r="J16" s="18">
        <f>B16*194/100000</f>
        <v>2.91</v>
      </c>
      <c r="K16" s="107" t="s">
        <v>554</v>
      </c>
    </row>
    <row r="17" spans="1:11">
      <c r="A17" s="155"/>
      <c r="B17" s="18">
        <v>1500</v>
      </c>
      <c r="C17" s="14" t="s">
        <v>20</v>
      </c>
      <c r="D17" s="30" t="s">
        <v>546</v>
      </c>
      <c r="E17" s="17">
        <f t="shared" si="1"/>
        <v>1000</v>
      </c>
      <c r="F17" s="17">
        <v>1.5</v>
      </c>
      <c r="G17" s="17">
        <v>1</v>
      </c>
      <c r="H17" s="70">
        <f t="shared" si="0"/>
        <v>1500</v>
      </c>
      <c r="I17" s="18" t="s">
        <v>127</v>
      </c>
      <c r="J17" s="94">
        <f t="shared" ref="J17:J20" si="2">B17*194/100000</f>
        <v>2.91</v>
      </c>
      <c r="K17" s="107"/>
    </row>
    <row r="18" spans="1:11">
      <c r="A18" s="155"/>
      <c r="B18" s="18">
        <v>1500</v>
      </c>
      <c r="C18" s="14" t="s">
        <v>20</v>
      </c>
      <c r="D18" s="30" t="s">
        <v>546</v>
      </c>
      <c r="E18" s="17">
        <f t="shared" si="1"/>
        <v>1000</v>
      </c>
      <c r="F18" s="17">
        <v>1.5</v>
      </c>
      <c r="G18" s="17">
        <v>1</v>
      </c>
      <c r="H18" s="70">
        <f t="shared" si="0"/>
        <v>1500</v>
      </c>
      <c r="I18" s="18" t="s">
        <v>127</v>
      </c>
      <c r="J18" s="94">
        <f t="shared" si="2"/>
        <v>2.91</v>
      </c>
      <c r="K18" s="107"/>
    </row>
    <row r="19" spans="1:11">
      <c r="A19" s="155"/>
      <c r="B19" s="18">
        <v>1500</v>
      </c>
      <c r="C19" s="14" t="s">
        <v>20</v>
      </c>
      <c r="D19" s="30" t="s">
        <v>546</v>
      </c>
      <c r="E19" s="17">
        <f t="shared" si="1"/>
        <v>1000</v>
      </c>
      <c r="F19" s="17">
        <v>1.5</v>
      </c>
      <c r="G19" s="17">
        <v>1</v>
      </c>
      <c r="H19" s="70">
        <f t="shared" si="0"/>
        <v>1500</v>
      </c>
      <c r="I19" s="18" t="s">
        <v>127</v>
      </c>
      <c r="J19" s="94">
        <f t="shared" si="2"/>
        <v>2.91</v>
      </c>
      <c r="K19" s="107"/>
    </row>
    <row r="20" spans="1:11">
      <c r="A20" s="155"/>
      <c r="B20" s="18">
        <v>1500</v>
      </c>
      <c r="C20" s="14" t="s">
        <v>20</v>
      </c>
      <c r="D20" s="30" t="s">
        <v>546</v>
      </c>
      <c r="E20" s="17">
        <f t="shared" si="1"/>
        <v>1000</v>
      </c>
      <c r="F20" s="17">
        <v>1.5</v>
      </c>
      <c r="G20" s="17">
        <v>1</v>
      </c>
      <c r="H20" s="70">
        <f t="shared" si="0"/>
        <v>1500</v>
      </c>
      <c r="I20" s="18" t="s">
        <v>127</v>
      </c>
      <c r="J20" s="94">
        <f t="shared" si="2"/>
        <v>2.91</v>
      </c>
      <c r="K20" s="107"/>
    </row>
    <row r="21" spans="1:11" s="1" customFormat="1">
      <c r="A21" s="60"/>
      <c r="B21" s="263"/>
      <c r="C21" s="305"/>
      <c r="D21" s="285"/>
      <c r="E21" s="265"/>
      <c r="F21" s="265"/>
      <c r="G21" s="265"/>
      <c r="H21" s="266"/>
      <c r="I21" s="263"/>
      <c r="J21" s="263"/>
    </row>
    <row r="22" spans="1:11">
      <c r="A22" s="36" t="s">
        <v>21</v>
      </c>
      <c r="B22" s="236"/>
      <c r="C22" s="201"/>
      <c r="D22" s="201"/>
      <c r="E22" s="201"/>
      <c r="F22" s="201"/>
      <c r="G22" s="201"/>
      <c r="H22" s="201"/>
      <c r="I22" s="201"/>
      <c r="J22" s="201"/>
      <c r="K22" s="1"/>
    </row>
    <row r="23" spans="1:11" ht="30">
      <c r="A23" s="156" t="s">
        <v>29</v>
      </c>
      <c r="B23" s="194">
        <v>780</v>
      </c>
      <c r="C23" s="209" t="s">
        <v>30</v>
      </c>
      <c r="D23" s="196" t="s">
        <v>237</v>
      </c>
      <c r="E23" s="195">
        <f t="shared" ref="E23:E24" si="3">1/(F23*G23)*B23</f>
        <v>95.823095823095812</v>
      </c>
      <c r="F23" s="195">
        <v>3.7</v>
      </c>
      <c r="G23" s="195">
        <v>2.2000000000000002</v>
      </c>
      <c r="H23" s="195">
        <f t="shared" ref="H23:H31" si="4">G23*F23*E23</f>
        <v>780</v>
      </c>
      <c r="I23" s="194" t="s">
        <v>127</v>
      </c>
      <c r="J23" s="194">
        <f>B23*194/100000</f>
        <v>1.5132000000000001</v>
      </c>
      <c r="K23" s="135" t="s">
        <v>555</v>
      </c>
    </row>
    <row r="24" spans="1:11" ht="30">
      <c r="A24" s="157"/>
      <c r="B24" s="194">
        <v>780</v>
      </c>
      <c r="C24" s="239" t="s">
        <v>30</v>
      </c>
      <c r="D24" s="196" t="s">
        <v>237</v>
      </c>
      <c r="E24" s="195">
        <f t="shared" si="3"/>
        <v>95.823095823095812</v>
      </c>
      <c r="F24" s="195">
        <v>3.7</v>
      </c>
      <c r="G24" s="195">
        <v>2.2000000000000002</v>
      </c>
      <c r="H24" s="195">
        <f t="shared" si="4"/>
        <v>780</v>
      </c>
      <c r="I24" s="194" t="s">
        <v>127</v>
      </c>
      <c r="J24" s="194">
        <f>B24*194/100000</f>
        <v>1.5132000000000001</v>
      </c>
      <c r="K24" s="137"/>
    </row>
    <row r="25" spans="1:11" s="1" customFormat="1">
      <c r="A25" s="66"/>
      <c r="B25" s="194"/>
      <c r="C25" s="268"/>
      <c r="D25" s="196"/>
      <c r="E25" s="195"/>
      <c r="F25" s="195"/>
      <c r="G25" s="195"/>
      <c r="H25" s="195"/>
      <c r="I25" s="194"/>
      <c r="J25" s="194"/>
    </row>
    <row r="26" spans="1:11">
      <c r="A26" s="59" t="s">
        <v>32</v>
      </c>
      <c r="B26" s="194"/>
      <c r="C26" s="268"/>
      <c r="D26" s="196"/>
      <c r="E26" s="195"/>
      <c r="F26" s="195"/>
      <c r="G26" s="195"/>
      <c r="H26" s="195"/>
      <c r="I26" s="194"/>
      <c r="J26" s="194"/>
      <c r="K26" s="1"/>
    </row>
    <row r="27" spans="1:11">
      <c r="A27" s="160" t="s">
        <v>547</v>
      </c>
      <c r="B27" s="206">
        <v>24</v>
      </c>
      <c r="C27" s="270" t="s">
        <v>254</v>
      </c>
      <c r="D27" s="196" t="s">
        <v>546</v>
      </c>
      <c r="E27" s="195">
        <f>1/(F27*G27)*B27</f>
        <v>68.571428571428555</v>
      </c>
      <c r="F27" s="195">
        <v>3.5</v>
      </c>
      <c r="G27" s="195">
        <v>0.1</v>
      </c>
      <c r="H27" s="195">
        <f t="shared" si="4"/>
        <v>23.999999999999996</v>
      </c>
      <c r="I27" s="194" t="s">
        <v>127</v>
      </c>
      <c r="J27" s="194">
        <f>24656/100000</f>
        <v>0.24656</v>
      </c>
      <c r="K27" s="85" t="s">
        <v>556</v>
      </c>
    </row>
    <row r="28" spans="1:11">
      <c r="A28" s="161"/>
      <c r="B28" s="206">
        <v>200</v>
      </c>
      <c r="C28" s="270" t="s">
        <v>548</v>
      </c>
      <c r="D28" s="196" t="s">
        <v>546</v>
      </c>
      <c r="E28" s="195">
        <f>1/(F28*G28)*B28</f>
        <v>19.047619047619047</v>
      </c>
      <c r="F28" s="195">
        <v>3.5</v>
      </c>
      <c r="G28" s="195">
        <v>3</v>
      </c>
      <c r="H28" s="195">
        <f t="shared" si="4"/>
        <v>200</v>
      </c>
      <c r="I28" s="194" t="s">
        <v>127</v>
      </c>
      <c r="J28" s="194">
        <f>B28*194/100000</f>
        <v>0.38800000000000001</v>
      </c>
      <c r="K28" s="85" t="s">
        <v>557</v>
      </c>
    </row>
    <row r="29" spans="1:11">
      <c r="A29" s="115" t="s">
        <v>114</v>
      </c>
      <c r="B29" s="206">
        <v>20</v>
      </c>
      <c r="C29" s="270" t="s">
        <v>52</v>
      </c>
      <c r="D29" s="196" t="s">
        <v>546</v>
      </c>
      <c r="E29" s="195">
        <v>3</v>
      </c>
      <c r="F29" s="195">
        <v>2</v>
      </c>
      <c r="G29" s="195">
        <v>1.2</v>
      </c>
      <c r="H29" s="195">
        <f t="shared" si="4"/>
        <v>7.1999999999999993</v>
      </c>
      <c r="I29" s="194" t="s">
        <v>127</v>
      </c>
      <c r="J29" s="194">
        <f>33880/100000</f>
        <v>0.33879999999999999</v>
      </c>
      <c r="K29" s="85" t="s">
        <v>558</v>
      </c>
    </row>
    <row r="30" spans="1:11">
      <c r="A30" s="115"/>
      <c r="B30" s="206">
        <v>20</v>
      </c>
      <c r="C30" s="270" t="s">
        <v>255</v>
      </c>
      <c r="D30" s="196" t="s">
        <v>546</v>
      </c>
      <c r="E30" s="195">
        <v>3</v>
      </c>
      <c r="F30" s="195">
        <v>2</v>
      </c>
      <c r="G30" s="195">
        <v>1.2</v>
      </c>
      <c r="H30" s="195">
        <f t="shared" si="4"/>
        <v>7.1999999999999993</v>
      </c>
      <c r="I30" s="194" t="s">
        <v>127</v>
      </c>
      <c r="J30" s="194">
        <f>50000/100000</f>
        <v>0.5</v>
      </c>
      <c r="K30" s="86" t="s">
        <v>559</v>
      </c>
    </row>
    <row r="31" spans="1:11" ht="30">
      <c r="A31" s="115"/>
      <c r="B31" s="206">
        <v>20</v>
      </c>
      <c r="C31" s="270" t="s">
        <v>257</v>
      </c>
      <c r="D31" s="196" t="s">
        <v>546</v>
      </c>
      <c r="E31" s="195">
        <v>3</v>
      </c>
      <c r="F31" s="195">
        <v>2</v>
      </c>
      <c r="G31" s="195">
        <v>1.2</v>
      </c>
      <c r="H31" s="195">
        <f t="shared" si="4"/>
        <v>7.1999999999999993</v>
      </c>
      <c r="I31" s="194" t="s">
        <v>127</v>
      </c>
      <c r="J31" s="194">
        <f>53880/100000</f>
        <v>0.53879999999999995</v>
      </c>
      <c r="K31" s="86" t="s">
        <v>560</v>
      </c>
    </row>
    <row r="32" spans="1:11" s="1" customFormat="1">
      <c r="A32" s="115"/>
      <c r="B32" s="187">
        <v>20</v>
      </c>
      <c r="C32" s="207" t="s">
        <v>134</v>
      </c>
      <c r="D32" s="196" t="s">
        <v>546</v>
      </c>
      <c r="E32" s="195">
        <f t="shared" ref="E32" si="5">1/(F32*G32)*B32</f>
        <v>98.76543209876543</v>
      </c>
      <c r="F32" s="195">
        <v>0.45</v>
      </c>
      <c r="G32" s="195">
        <v>0.45</v>
      </c>
      <c r="H32" s="195">
        <f t="shared" ref="H32" si="6">G32*F32*E32</f>
        <v>20</v>
      </c>
      <c r="I32" s="194" t="s">
        <v>127</v>
      </c>
      <c r="J32" s="194">
        <f>27280/100000</f>
        <v>0.27279999999999999</v>
      </c>
      <c r="K32" s="86" t="s">
        <v>561</v>
      </c>
    </row>
    <row r="33" spans="1:11">
      <c r="A33" s="66"/>
      <c r="B33" s="214">
        <f>SUM(B11:B31)</f>
        <v>9900</v>
      </c>
      <c r="C33" s="251"/>
      <c r="D33" s="252"/>
      <c r="E33" s="213"/>
      <c r="F33" s="213"/>
      <c r="G33" s="213"/>
      <c r="H33" s="213"/>
      <c r="I33" s="213"/>
      <c r="J33" s="306">
        <f>SUM(J11:J32)</f>
        <v>21.340000000000003</v>
      </c>
      <c r="K33" s="1"/>
    </row>
    <row r="34" spans="1:11">
      <c r="A34" s="66"/>
      <c r="B34" s="214"/>
      <c r="C34" s="210"/>
      <c r="D34" s="210"/>
      <c r="E34" s="210"/>
      <c r="F34" s="210"/>
      <c r="G34" s="210"/>
      <c r="H34" s="210"/>
      <c r="I34" s="210"/>
      <c r="J34" s="307">
        <f>E4/100000</f>
        <v>21.34</v>
      </c>
      <c r="K34" s="1"/>
    </row>
    <row r="35" spans="1:11">
      <c r="A35" s="66"/>
      <c r="B35" s="254">
        <f>B3*100</f>
        <v>9900</v>
      </c>
      <c r="C35" s="210"/>
      <c r="D35" s="210"/>
      <c r="E35" s="210"/>
      <c r="F35" s="210"/>
      <c r="G35" s="210"/>
      <c r="H35" s="210"/>
      <c r="I35" s="210"/>
      <c r="J35" s="308">
        <f>E2/100000</f>
        <v>19.206</v>
      </c>
      <c r="K35" s="1"/>
    </row>
    <row r="36" spans="1:11">
      <c r="A36" s="8" t="s">
        <v>38</v>
      </c>
      <c r="B36" s="210"/>
      <c r="C36" s="257">
        <f>E2/100000</f>
        <v>19.206</v>
      </c>
      <c r="D36" s="258" t="s">
        <v>39</v>
      </c>
      <c r="E36" s="210"/>
      <c r="F36" s="210"/>
      <c r="G36" s="210"/>
      <c r="H36" s="210"/>
      <c r="I36" s="210"/>
      <c r="J36" s="210"/>
      <c r="K36" s="1"/>
    </row>
    <row r="37" spans="1:11">
      <c r="A37" s="8" t="s">
        <v>40</v>
      </c>
      <c r="B37" s="1"/>
      <c r="C37" s="25">
        <f>C36*(1/9)</f>
        <v>2.1339999999999999</v>
      </c>
      <c r="D37" s="4" t="s">
        <v>39</v>
      </c>
      <c r="E37" s="1"/>
      <c r="F37" s="1"/>
      <c r="G37" s="1"/>
      <c r="H37" s="1"/>
      <c r="I37" s="1"/>
      <c r="J37" s="1"/>
      <c r="K37" s="48"/>
    </row>
    <row r="38" spans="1:11">
      <c r="A38" s="4" t="s">
        <v>108</v>
      </c>
      <c r="B38" s="1"/>
      <c r="C38" s="1"/>
      <c r="D38" s="1"/>
      <c r="E38" s="1"/>
      <c r="F38" s="1"/>
      <c r="G38" s="1"/>
      <c r="H38" s="1"/>
      <c r="I38" s="1"/>
      <c r="J38" s="58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48"/>
    </row>
  </sheetData>
  <mergeCells count="20">
    <mergeCell ref="K16:K20"/>
    <mergeCell ref="K23:K24"/>
    <mergeCell ref="K7:K9"/>
    <mergeCell ref="A10:J10"/>
    <mergeCell ref="A14:A15"/>
    <mergeCell ref="A23:A24"/>
    <mergeCell ref="E2:G2"/>
    <mergeCell ref="E3:G3"/>
    <mergeCell ref="E4:G4"/>
    <mergeCell ref="E5:G5"/>
    <mergeCell ref="E6:G6"/>
    <mergeCell ref="A27:A28"/>
    <mergeCell ref="A29:A32"/>
    <mergeCell ref="E7:I8"/>
    <mergeCell ref="J7:J9"/>
    <mergeCell ref="A7:A8"/>
    <mergeCell ref="B7:B8"/>
    <mergeCell ref="C7:C8"/>
    <mergeCell ref="D7:D8"/>
    <mergeCell ref="A16:A2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"/>
  <dimension ref="B2:E24"/>
  <sheetViews>
    <sheetView workbookViewId="0">
      <selection activeCell="J11" sqref="J11"/>
    </sheetView>
  </sheetViews>
  <sheetFormatPr defaultRowHeight="15"/>
  <cols>
    <col min="2" max="2" width="19.28515625" customWidth="1"/>
    <col min="3" max="3" width="11.85546875" bestFit="1" customWidth="1"/>
    <col min="5" max="5" width="21.140625" customWidth="1"/>
  </cols>
  <sheetData>
    <row r="2" spans="2:5" ht="35.1" customHeight="1">
      <c r="B2" s="184" t="s">
        <v>68</v>
      </c>
      <c r="C2" s="184"/>
      <c r="D2" s="184"/>
      <c r="E2" s="184"/>
    </row>
    <row r="3" spans="2:5" ht="28.5">
      <c r="B3" s="38" t="s">
        <v>69</v>
      </c>
      <c r="C3" s="38" t="s">
        <v>70</v>
      </c>
      <c r="D3" s="38" t="s">
        <v>71</v>
      </c>
      <c r="E3" s="38" t="s">
        <v>72</v>
      </c>
    </row>
    <row r="4" spans="2:5">
      <c r="B4" s="39" t="s">
        <v>73</v>
      </c>
      <c r="C4" s="39">
        <v>22000049334</v>
      </c>
      <c r="D4" s="39" t="s">
        <v>74</v>
      </c>
      <c r="E4" s="39" t="s">
        <v>73</v>
      </c>
    </row>
    <row r="5" spans="2:5">
      <c r="B5" s="40" t="s">
        <v>75</v>
      </c>
      <c r="C5" s="40">
        <v>22000049335</v>
      </c>
      <c r="D5" s="40" t="s">
        <v>74</v>
      </c>
      <c r="E5" s="40" t="s">
        <v>75</v>
      </c>
    </row>
    <row r="6" spans="2:5">
      <c r="B6" s="39" t="s">
        <v>76</v>
      </c>
      <c r="C6" s="39">
        <v>22000049336</v>
      </c>
      <c r="D6" s="39" t="s">
        <v>74</v>
      </c>
      <c r="E6" s="39" t="s">
        <v>76</v>
      </c>
    </row>
    <row r="7" spans="2:5">
      <c r="B7" s="40" t="s">
        <v>77</v>
      </c>
      <c r="C7" s="40">
        <v>22000049337</v>
      </c>
      <c r="D7" s="40" t="s">
        <v>74</v>
      </c>
      <c r="E7" s="40" t="s">
        <v>77</v>
      </c>
    </row>
    <row r="8" spans="2:5">
      <c r="B8" s="39" t="s">
        <v>78</v>
      </c>
      <c r="C8" s="39">
        <v>22000049338</v>
      </c>
      <c r="D8" s="39" t="s">
        <v>74</v>
      </c>
      <c r="E8" s="39" t="s">
        <v>78</v>
      </c>
    </row>
    <row r="9" spans="2:5">
      <c r="B9" s="40" t="s">
        <v>79</v>
      </c>
      <c r="C9" s="40">
        <v>22000049339</v>
      </c>
      <c r="D9" s="40" t="s">
        <v>74</v>
      </c>
      <c r="E9" s="40" t="s">
        <v>79</v>
      </c>
    </row>
    <row r="10" spans="2:5">
      <c r="B10" s="39" t="s">
        <v>80</v>
      </c>
      <c r="C10" s="39">
        <v>22000049340</v>
      </c>
      <c r="D10" s="39" t="s">
        <v>74</v>
      </c>
      <c r="E10" s="39" t="s">
        <v>80</v>
      </c>
    </row>
    <row r="11" spans="2:5">
      <c r="B11" s="40" t="s">
        <v>81</v>
      </c>
      <c r="C11" s="40">
        <v>22000049341</v>
      </c>
      <c r="D11" s="40" t="s">
        <v>74</v>
      </c>
      <c r="E11" s="40" t="s">
        <v>81</v>
      </c>
    </row>
    <row r="12" spans="2:5">
      <c r="B12" s="39" t="s">
        <v>82</v>
      </c>
      <c r="C12" s="39">
        <v>22000049342</v>
      </c>
      <c r="D12" s="39" t="s">
        <v>74</v>
      </c>
      <c r="E12" s="39" t="s">
        <v>82</v>
      </c>
    </row>
    <row r="13" spans="2:5" ht="30">
      <c r="B13" s="40" t="s">
        <v>83</v>
      </c>
      <c r="C13" s="40">
        <v>22000049343</v>
      </c>
      <c r="D13" s="40" t="s">
        <v>74</v>
      </c>
      <c r="E13" s="40" t="s">
        <v>83</v>
      </c>
    </row>
    <row r="14" spans="2:5" ht="30">
      <c r="B14" s="39" t="s">
        <v>84</v>
      </c>
      <c r="C14" s="39">
        <v>22000049344</v>
      </c>
      <c r="D14" s="39" t="s">
        <v>74</v>
      </c>
      <c r="E14" s="39" t="s">
        <v>84</v>
      </c>
    </row>
    <row r="15" spans="2:5" ht="30">
      <c r="B15" s="40" t="s">
        <v>85</v>
      </c>
      <c r="C15" s="40">
        <v>22000049345</v>
      </c>
      <c r="D15" s="40" t="s">
        <v>74</v>
      </c>
      <c r="E15" s="40" t="s">
        <v>85</v>
      </c>
    </row>
    <row r="16" spans="2:5" ht="30">
      <c r="B16" s="39" t="s">
        <v>86</v>
      </c>
      <c r="C16" s="39">
        <v>22000049346</v>
      </c>
      <c r="D16" s="39" t="s">
        <v>74</v>
      </c>
      <c r="E16" s="39" t="s">
        <v>86</v>
      </c>
    </row>
    <row r="17" spans="2:5" ht="30">
      <c r="B17" s="40" t="s">
        <v>87</v>
      </c>
      <c r="C17" s="40">
        <v>22000049347</v>
      </c>
      <c r="D17" s="40" t="s">
        <v>74</v>
      </c>
      <c r="E17" s="40" t="s">
        <v>87</v>
      </c>
    </row>
    <row r="18" spans="2:5" ht="30">
      <c r="B18" s="39" t="s">
        <v>88</v>
      </c>
      <c r="C18" s="39">
        <v>22000049348</v>
      </c>
      <c r="D18" s="39" t="s">
        <v>74</v>
      </c>
      <c r="E18" s="39" t="s">
        <v>88</v>
      </c>
    </row>
    <row r="19" spans="2:5" ht="30">
      <c r="B19" s="40" t="s">
        <v>89</v>
      </c>
      <c r="C19" s="40">
        <v>22000049349</v>
      </c>
      <c r="D19" s="40" t="s">
        <v>74</v>
      </c>
      <c r="E19" s="40" t="s">
        <v>89</v>
      </c>
    </row>
    <row r="20" spans="2:5" ht="30">
      <c r="B20" s="39" t="s">
        <v>90</v>
      </c>
      <c r="C20" s="39">
        <v>22000049350</v>
      </c>
      <c r="D20" s="39" t="s">
        <v>74</v>
      </c>
      <c r="E20" s="39" t="s">
        <v>90</v>
      </c>
    </row>
    <row r="21" spans="2:5" ht="30">
      <c r="B21" s="40" t="s">
        <v>91</v>
      </c>
      <c r="C21" s="40">
        <v>22000049351</v>
      </c>
      <c r="D21" s="40" t="s">
        <v>74</v>
      </c>
      <c r="E21" s="40" t="s">
        <v>91</v>
      </c>
    </row>
    <row r="22" spans="2:5" ht="30">
      <c r="B22" s="39" t="s">
        <v>92</v>
      </c>
      <c r="C22" s="39">
        <v>22000049352</v>
      </c>
      <c r="D22" s="39" t="s">
        <v>74</v>
      </c>
      <c r="E22" s="39" t="s">
        <v>92</v>
      </c>
    </row>
    <row r="23" spans="2:5" ht="30">
      <c r="B23" s="40" t="s">
        <v>93</v>
      </c>
      <c r="C23" s="40">
        <v>22000049353</v>
      </c>
      <c r="D23" s="40" t="s">
        <v>74</v>
      </c>
      <c r="E23" s="40" t="s">
        <v>93</v>
      </c>
    </row>
    <row r="24" spans="2:5" ht="18.75">
      <c r="B24" s="185"/>
      <c r="C24" s="185"/>
      <c r="D24" s="185"/>
      <c r="E24" s="185"/>
    </row>
  </sheetData>
  <mergeCells count="2">
    <mergeCell ref="B2:E2"/>
    <mergeCell ref="B24:E24"/>
  </mergeCells>
  <pageMargins left="0.7" right="0.7" top="0.75" bottom="0.75" header="0.3" footer="0.3"/>
  <pageSetup paperSize="9" orientation="portrait" r:id="rId1"/>
  <legacyDrawing r:id="rId2"/>
  <controls>
    <control shapeId="1025" r:id="rId3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K79"/>
  <sheetViews>
    <sheetView topLeftCell="A16" workbookViewId="0">
      <selection activeCell="A11" sqref="A11:K65"/>
    </sheetView>
  </sheetViews>
  <sheetFormatPr defaultRowHeight="15"/>
  <cols>
    <col min="1" max="1" width="16.85546875" customWidth="1"/>
    <col min="3" max="3" width="33.5703125" customWidth="1"/>
    <col min="4" max="4" width="21.28515625" customWidth="1"/>
    <col min="5" max="5" width="6" customWidth="1"/>
    <col min="6" max="6" width="7.140625" customWidth="1"/>
    <col min="7" max="7" width="5.85546875" customWidth="1"/>
    <col min="8" max="8" width="5" customWidth="1"/>
    <col min="9" max="9" width="5.42578125" customWidth="1"/>
    <col min="10" max="10" width="15" bestFit="1" customWidth="1"/>
    <col min="11" max="11" width="27.42578125" style="34" bestFit="1" customWidth="1"/>
  </cols>
  <sheetData>
    <row r="1" spans="1:11">
      <c r="A1" s="10" t="s">
        <v>51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</row>
    <row r="2" spans="1:11">
      <c r="A2" s="2"/>
      <c r="B2" s="6"/>
      <c r="C2" s="3"/>
      <c r="D2" s="3" t="s">
        <v>0</v>
      </c>
      <c r="E2" s="138">
        <f>B3*194*100</f>
        <v>5606600</v>
      </c>
      <c r="F2" s="138"/>
      <c r="G2" s="138"/>
      <c r="H2" s="43"/>
      <c r="I2" s="43"/>
      <c r="J2" s="9"/>
      <c r="K2" s="1"/>
    </row>
    <row r="3" spans="1:11">
      <c r="A3" s="10" t="s">
        <v>1</v>
      </c>
      <c r="B3" s="6">
        <v>289</v>
      </c>
      <c r="C3" s="3"/>
      <c r="D3" s="3" t="s">
        <v>2</v>
      </c>
      <c r="E3" s="139">
        <f>E2*1/9</f>
        <v>622955.5555555555</v>
      </c>
      <c r="F3" s="139"/>
      <c r="G3" s="139"/>
      <c r="H3" s="44"/>
      <c r="I3" s="44"/>
      <c r="J3" s="21"/>
      <c r="K3" s="1"/>
    </row>
    <row r="4" spans="1:11">
      <c r="A4" s="7"/>
      <c r="B4" s="5"/>
      <c r="C4" s="3"/>
      <c r="D4" s="3" t="s">
        <v>3</v>
      </c>
      <c r="E4" s="139">
        <f>SUM(E2:E3)</f>
        <v>6229555.555555556</v>
      </c>
      <c r="F4" s="139"/>
      <c r="G4" s="139"/>
      <c r="H4" s="44"/>
      <c r="I4" s="44"/>
      <c r="J4" s="9"/>
      <c r="K4" s="1"/>
    </row>
    <row r="5" spans="1:11">
      <c r="A5" s="7"/>
      <c r="B5" s="5"/>
      <c r="C5" s="3"/>
      <c r="D5" s="3" t="s">
        <v>4</v>
      </c>
      <c r="E5" s="139">
        <f>E4*0.06</f>
        <v>373773.33333333337</v>
      </c>
      <c r="F5" s="139"/>
      <c r="G5" s="139"/>
      <c r="H5" s="44"/>
      <c r="I5" s="44"/>
      <c r="J5" s="9"/>
      <c r="K5" s="1"/>
    </row>
    <row r="6" spans="1:11">
      <c r="A6" s="7"/>
      <c r="B6" s="5"/>
      <c r="C6" s="3"/>
      <c r="D6" s="3" t="s">
        <v>5</v>
      </c>
      <c r="E6" s="140">
        <f>SUM(E4:E5)</f>
        <v>6603328.888888889</v>
      </c>
      <c r="F6" s="140"/>
      <c r="G6" s="140"/>
      <c r="H6" s="57"/>
      <c r="I6" s="57"/>
      <c r="J6" s="9"/>
      <c r="K6" s="1"/>
    </row>
    <row r="7" spans="1:11" ht="15" customHeight="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574</v>
      </c>
      <c r="K7" s="145" t="s">
        <v>119</v>
      </c>
    </row>
    <row r="8" spans="1:11" ht="15" customHeight="1">
      <c r="A8" s="117"/>
      <c r="B8" s="118"/>
      <c r="C8" s="120"/>
      <c r="D8" s="122"/>
      <c r="E8" s="129"/>
      <c r="F8" s="130"/>
      <c r="G8" s="130"/>
      <c r="H8" s="130"/>
      <c r="I8" s="131"/>
      <c r="J8" s="111"/>
      <c r="K8" s="145"/>
    </row>
    <row r="9" spans="1:11" ht="15" customHeight="1"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51"/>
      <c r="K9" s="16"/>
    </row>
    <row r="10" spans="1:11" ht="15" customHeight="1">
      <c r="A10" s="49" t="s">
        <v>11</v>
      </c>
      <c r="B10" s="20"/>
      <c r="C10" s="46"/>
      <c r="D10" s="12"/>
      <c r="E10" s="1"/>
      <c r="F10" s="1"/>
      <c r="G10" s="1"/>
      <c r="H10" s="1"/>
      <c r="I10" s="1"/>
      <c r="J10" s="18"/>
      <c r="K10" s="16"/>
    </row>
    <row r="11" spans="1:11" ht="33.75" customHeight="1">
      <c r="A11" s="216" t="s">
        <v>12</v>
      </c>
      <c r="B11" s="217">
        <v>144</v>
      </c>
      <c r="C11" s="218" t="s">
        <v>109</v>
      </c>
      <c r="D11" s="219" t="s">
        <v>237</v>
      </c>
      <c r="E11" s="195">
        <f>1/(F11*G11)*B11</f>
        <v>24</v>
      </c>
      <c r="F11" s="217">
        <v>3</v>
      </c>
      <c r="G11" s="217">
        <v>2</v>
      </c>
      <c r="H11" s="217">
        <f>G11*F11*E11</f>
        <v>144</v>
      </c>
      <c r="I11" s="194" t="s">
        <v>127</v>
      </c>
      <c r="J11" s="194">
        <f>B11*194/100000</f>
        <v>0.27936</v>
      </c>
      <c r="K11" s="220" t="s">
        <v>374</v>
      </c>
    </row>
    <row r="12" spans="1:11" s="1" customFormat="1" ht="33.75" customHeight="1">
      <c r="A12" s="221" t="s">
        <v>151</v>
      </c>
      <c r="B12" s="194">
        <v>100</v>
      </c>
      <c r="C12" s="209" t="s">
        <v>152</v>
      </c>
      <c r="D12" s="209" t="s">
        <v>334</v>
      </c>
      <c r="E12" s="195">
        <v>3</v>
      </c>
      <c r="F12" s="217">
        <v>3</v>
      </c>
      <c r="G12" s="195">
        <v>2</v>
      </c>
      <c r="H12" s="217">
        <f t="shared" ref="H12" si="0">G12*F12*E12</f>
        <v>18</v>
      </c>
      <c r="I12" s="194" t="s">
        <v>127</v>
      </c>
      <c r="J12" s="194">
        <f>69400/100000</f>
        <v>0.69399999999999995</v>
      </c>
      <c r="K12" s="220" t="s">
        <v>375</v>
      </c>
    </row>
    <row r="13" spans="1:11" ht="15" customHeight="1">
      <c r="A13" s="222" t="s">
        <v>13</v>
      </c>
      <c r="B13" s="194"/>
      <c r="C13" s="75"/>
      <c r="D13" s="223"/>
      <c r="E13" s="195"/>
      <c r="F13" s="217"/>
      <c r="G13" s="195"/>
      <c r="H13" s="217">
        <f t="shared" ref="H13:H27" si="1">G13*F13*E13</f>
        <v>0</v>
      </c>
      <c r="I13" s="194" t="s">
        <v>127</v>
      </c>
      <c r="J13" s="194"/>
      <c r="K13" s="224"/>
    </row>
    <row r="14" spans="1:11" ht="15" customHeight="1">
      <c r="A14" s="225"/>
      <c r="B14" s="194">
        <v>10</v>
      </c>
      <c r="C14" s="196" t="s">
        <v>110</v>
      </c>
      <c r="D14" s="209" t="s">
        <v>334</v>
      </c>
      <c r="E14" s="195">
        <v>3</v>
      </c>
      <c r="F14" s="217">
        <v>3</v>
      </c>
      <c r="G14" s="195">
        <v>2</v>
      </c>
      <c r="H14" s="217">
        <f t="shared" si="1"/>
        <v>18</v>
      </c>
      <c r="I14" s="194" t="s">
        <v>127</v>
      </c>
      <c r="J14" s="194">
        <f>81940/100000</f>
        <v>0.81940000000000002</v>
      </c>
      <c r="K14" s="226" t="s">
        <v>376</v>
      </c>
    </row>
    <row r="15" spans="1:11" ht="15" customHeight="1">
      <c r="A15" s="227" t="s">
        <v>15</v>
      </c>
      <c r="B15" s="194">
        <v>200</v>
      </c>
      <c r="C15" s="75" t="s">
        <v>16</v>
      </c>
      <c r="D15" s="209" t="s">
        <v>334</v>
      </c>
      <c r="E15" s="195">
        <f t="shared" ref="E15" si="2">1/(F15*G15)*B15</f>
        <v>2222.2222222222222</v>
      </c>
      <c r="F15" s="217">
        <v>0.3</v>
      </c>
      <c r="G15" s="195">
        <v>0.3</v>
      </c>
      <c r="H15" s="217">
        <f t="shared" si="1"/>
        <v>200</v>
      </c>
      <c r="I15" s="194" t="s">
        <v>127</v>
      </c>
      <c r="J15" s="194">
        <f>B15*194/100000</f>
        <v>0.38800000000000001</v>
      </c>
      <c r="K15" s="37" t="s">
        <v>377</v>
      </c>
    </row>
    <row r="16" spans="1:11" ht="15" customHeight="1">
      <c r="A16" s="227"/>
      <c r="B16" s="194">
        <v>300</v>
      </c>
      <c r="C16" s="75" t="s">
        <v>18</v>
      </c>
      <c r="D16" s="209" t="s">
        <v>334</v>
      </c>
      <c r="E16" s="195">
        <f>1/(F16*G16)*B16</f>
        <v>300</v>
      </c>
      <c r="F16" s="217">
        <v>1</v>
      </c>
      <c r="G16" s="195">
        <v>1</v>
      </c>
      <c r="H16" s="217">
        <f t="shared" si="1"/>
        <v>300</v>
      </c>
      <c r="I16" s="194" t="s">
        <v>127</v>
      </c>
      <c r="J16" s="194">
        <f>B16*194/100000</f>
        <v>0.58199999999999996</v>
      </c>
      <c r="K16" s="226" t="s">
        <v>378</v>
      </c>
    </row>
    <row r="17" spans="1:11" ht="15" customHeight="1">
      <c r="A17" s="228" t="s">
        <v>19</v>
      </c>
      <c r="B17" s="194">
        <v>1500</v>
      </c>
      <c r="C17" s="229" t="s">
        <v>20</v>
      </c>
      <c r="D17" s="219" t="s">
        <v>237</v>
      </c>
      <c r="E17" s="195">
        <f t="shared" ref="E17:E27" si="3">1/(F17*G17)*B17</f>
        <v>1000</v>
      </c>
      <c r="F17" s="217">
        <v>1.5</v>
      </c>
      <c r="G17" s="195">
        <v>1</v>
      </c>
      <c r="H17" s="217">
        <f t="shared" si="1"/>
        <v>1500</v>
      </c>
      <c r="I17" s="194" t="s">
        <v>127</v>
      </c>
      <c r="J17" s="194">
        <f t="shared" ref="J17:J27" si="4">B17*194/100000</f>
        <v>2.91</v>
      </c>
      <c r="K17" s="230" t="s">
        <v>379</v>
      </c>
    </row>
    <row r="18" spans="1:11" ht="15" customHeight="1">
      <c r="A18" s="231"/>
      <c r="B18" s="194">
        <v>1500</v>
      </c>
      <c r="C18" s="229" t="s">
        <v>20</v>
      </c>
      <c r="D18" s="219" t="s">
        <v>237</v>
      </c>
      <c r="E18" s="195">
        <f t="shared" si="3"/>
        <v>1000</v>
      </c>
      <c r="F18" s="195">
        <v>1.5</v>
      </c>
      <c r="G18" s="195">
        <v>1</v>
      </c>
      <c r="H18" s="217">
        <f t="shared" si="1"/>
        <v>1500</v>
      </c>
      <c r="I18" s="194" t="s">
        <v>127</v>
      </c>
      <c r="J18" s="194">
        <f t="shared" si="4"/>
        <v>2.91</v>
      </c>
      <c r="K18" s="230"/>
    </row>
    <row r="19" spans="1:11" ht="15" customHeight="1">
      <c r="A19" s="231"/>
      <c r="B19" s="194">
        <v>1500</v>
      </c>
      <c r="C19" s="229" t="s">
        <v>20</v>
      </c>
      <c r="D19" s="219" t="s">
        <v>237</v>
      </c>
      <c r="E19" s="195">
        <f t="shared" si="3"/>
        <v>1000</v>
      </c>
      <c r="F19" s="195">
        <v>1.5</v>
      </c>
      <c r="G19" s="195">
        <v>1</v>
      </c>
      <c r="H19" s="217">
        <f t="shared" si="1"/>
        <v>1500</v>
      </c>
      <c r="I19" s="194" t="s">
        <v>127</v>
      </c>
      <c r="J19" s="194">
        <f t="shared" si="4"/>
        <v>2.91</v>
      </c>
      <c r="K19" s="230"/>
    </row>
    <row r="20" spans="1:11" ht="15" customHeight="1">
      <c r="A20" s="231"/>
      <c r="B20" s="194">
        <v>1500</v>
      </c>
      <c r="C20" s="229" t="s">
        <v>20</v>
      </c>
      <c r="D20" s="219" t="s">
        <v>237</v>
      </c>
      <c r="E20" s="195">
        <f t="shared" si="3"/>
        <v>1000</v>
      </c>
      <c r="F20" s="195">
        <v>1.5</v>
      </c>
      <c r="G20" s="195">
        <v>1</v>
      </c>
      <c r="H20" s="217">
        <f t="shared" si="1"/>
        <v>1500</v>
      </c>
      <c r="I20" s="194" t="s">
        <v>127</v>
      </c>
      <c r="J20" s="194">
        <f t="shared" si="4"/>
        <v>2.91</v>
      </c>
      <c r="K20" s="230"/>
    </row>
    <row r="21" spans="1:11" ht="15" customHeight="1">
      <c r="A21" s="231"/>
      <c r="B21" s="194">
        <v>1500</v>
      </c>
      <c r="C21" s="229" t="s">
        <v>20</v>
      </c>
      <c r="D21" s="219" t="s">
        <v>237</v>
      </c>
      <c r="E21" s="195">
        <f t="shared" si="3"/>
        <v>1000</v>
      </c>
      <c r="F21" s="195">
        <v>1.5</v>
      </c>
      <c r="G21" s="195">
        <v>1</v>
      </c>
      <c r="H21" s="217">
        <f t="shared" si="1"/>
        <v>1500</v>
      </c>
      <c r="I21" s="194" t="s">
        <v>127</v>
      </c>
      <c r="J21" s="194">
        <f t="shared" si="4"/>
        <v>2.91</v>
      </c>
      <c r="K21" s="230"/>
    </row>
    <row r="22" spans="1:11" ht="15" customHeight="1">
      <c r="A22" s="231"/>
      <c r="B22" s="194">
        <v>1500</v>
      </c>
      <c r="C22" s="229" t="s">
        <v>20</v>
      </c>
      <c r="D22" s="219" t="s">
        <v>237</v>
      </c>
      <c r="E22" s="195">
        <f t="shared" si="3"/>
        <v>1000</v>
      </c>
      <c r="F22" s="195">
        <v>1.5</v>
      </c>
      <c r="G22" s="195">
        <v>1</v>
      </c>
      <c r="H22" s="217">
        <f t="shared" si="1"/>
        <v>1500</v>
      </c>
      <c r="I22" s="194" t="s">
        <v>127</v>
      </c>
      <c r="J22" s="194">
        <f t="shared" si="4"/>
        <v>2.91</v>
      </c>
      <c r="K22" s="230"/>
    </row>
    <row r="23" spans="1:11" ht="15" customHeight="1">
      <c r="A23" s="231"/>
      <c r="B23" s="194">
        <v>1500</v>
      </c>
      <c r="C23" s="229" t="s">
        <v>20</v>
      </c>
      <c r="D23" s="219" t="s">
        <v>237</v>
      </c>
      <c r="E23" s="195">
        <f t="shared" si="3"/>
        <v>1000</v>
      </c>
      <c r="F23" s="195">
        <v>1.5</v>
      </c>
      <c r="G23" s="195">
        <v>1</v>
      </c>
      <c r="H23" s="217">
        <f t="shared" si="1"/>
        <v>1500</v>
      </c>
      <c r="I23" s="194" t="s">
        <v>127</v>
      </c>
      <c r="J23" s="194">
        <f t="shared" si="4"/>
        <v>2.91</v>
      </c>
      <c r="K23" s="230"/>
    </row>
    <row r="24" spans="1:11" ht="15" customHeight="1">
      <c r="A24" s="231"/>
      <c r="B24" s="194">
        <v>1500</v>
      </c>
      <c r="C24" s="229" t="s">
        <v>20</v>
      </c>
      <c r="D24" s="219" t="s">
        <v>237</v>
      </c>
      <c r="E24" s="195">
        <f t="shared" si="3"/>
        <v>1000</v>
      </c>
      <c r="F24" s="195">
        <v>1.5</v>
      </c>
      <c r="G24" s="195">
        <v>1</v>
      </c>
      <c r="H24" s="217">
        <f t="shared" si="1"/>
        <v>1500</v>
      </c>
      <c r="I24" s="194" t="s">
        <v>127</v>
      </c>
      <c r="J24" s="194">
        <f t="shared" si="4"/>
        <v>2.91</v>
      </c>
      <c r="K24" s="230"/>
    </row>
    <row r="25" spans="1:11" ht="15" customHeight="1">
      <c r="A25" s="231"/>
      <c r="B25" s="194">
        <v>1500</v>
      </c>
      <c r="C25" s="229" t="s">
        <v>20</v>
      </c>
      <c r="D25" s="219" t="s">
        <v>237</v>
      </c>
      <c r="E25" s="195">
        <f t="shared" si="3"/>
        <v>1000</v>
      </c>
      <c r="F25" s="195">
        <v>1.5</v>
      </c>
      <c r="G25" s="195">
        <v>1</v>
      </c>
      <c r="H25" s="217">
        <f t="shared" si="1"/>
        <v>1500</v>
      </c>
      <c r="I25" s="194" t="s">
        <v>127</v>
      </c>
      <c r="J25" s="194">
        <f t="shared" si="4"/>
        <v>2.91</v>
      </c>
      <c r="K25" s="230"/>
    </row>
    <row r="26" spans="1:11" ht="15" customHeight="1">
      <c r="A26" s="231"/>
      <c r="B26" s="194">
        <v>1500</v>
      </c>
      <c r="C26" s="229" t="s">
        <v>20</v>
      </c>
      <c r="D26" s="219" t="s">
        <v>237</v>
      </c>
      <c r="E26" s="195">
        <f t="shared" si="3"/>
        <v>1000</v>
      </c>
      <c r="F26" s="195">
        <v>1.5</v>
      </c>
      <c r="G26" s="195">
        <v>1</v>
      </c>
      <c r="H26" s="217">
        <f t="shared" si="1"/>
        <v>1500</v>
      </c>
      <c r="I26" s="194" t="s">
        <v>127</v>
      </c>
      <c r="J26" s="194">
        <f t="shared" si="4"/>
        <v>2.91</v>
      </c>
      <c r="K26" s="230"/>
    </row>
    <row r="27" spans="1:11">
      <c r="A27" s="232"/>
      <c r="B27" s="194">
        <v>1500</v>
      </c>
      <c r="C27" s="229" t="s">
        <v>20</v>
      </c>
      <c r="D27" s="219" t="s">
        <v>237</v>
      </c>
      <c r="E27" s="195">
        <f t="shared" si="3"/>
        <v>1000</v>
      </c>
      <c r="F27" s="195">
        <v>1.5</v>
      </c>
      <c r="G27" s="195">
        <v>1</v>
      </c>
      <c r="H27" s="217">
        <f t="shared" si="1"/>
        <v>1500</v>
      </c>
      <c r="I27" s="194" t="s">
        <v>127</v>
      </c>
      <c r="J27" s="194">
        <f t="shared" si="4"/>
        <v>2.91</v>
      </c>
      <c r="K27" s="230"/>
    </row>
    <row r="28" spans="1:11" s="1" customFormat="1">
      <c r="A28" s="233"/>
      <c r="B28" s="234"/>
      <c r="C28" s="234"/>
      <c r="D28" s="234"/>
      <c r="E28" s="234"/>
      <c r="F28" s="234"/>
      <c r="G28" s="234"/>
      <c r="H28" s="234"/>
      <c r="I28" s="234"/>
      <c r="J28" s="234"/>
      <c r="K28" s="210"/>
    </row>
    <row r="29" spans="1:11" s="1" customFormat="1">
      <c r="A29" s="235"/>
      <c r="B29" s="235"/>
      <c r="C29" s="235"/>
      <c r="D29" s="235"/>
      <c r="E29" s="235"/>
      <c r="F29" s="235"/>
      <c r="G29" s="235"/>
      <c r="H29" s="235"/>
      <c r="I29" s="235"/>
      <c r="J29" s="235"/>
      <c r="K29" s="210"/>
    </row>
    <row r="30" spans="1:11" s="1" customFormat="1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10"/>
    </row>
    <row r="31" spans="1:11" s="1" customFormat="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10"/>
    </row>
    <row r="32" spans="1:11" s="1" customFormat="1">
      <c r="A32" s="235"/>
      <c r="B32" s="235"/>
      <c r="C32" s="235"/>
      <c r="D32" s="235"/>
      <c r="E32" s="235"/>
      <c r="F32" s="235"/>
      <c r="G32" s="235"/>
      <c r="H32" s="235"/>
      <c r="I32" s="235"/>
      <c r="J32" s="235"/>
      <c r="K32" s="210"/>
    </row>
    <row r="33" spans="1:11" s="1" customFormat="1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10"/>
    </row>
    <row r="34" spans="1:11" ht="15" customHeight="1">
      <c r="A34" s="201" t="s">
        <v>21</v>
      </c>
      <c r="B34" s="236"/>
      <c r="C34" s="237"/>
      <c r="D34" s="237"/>
      <c r="E34" s="237"/>
      <c r="F34" s="237"/>
      <c r="G34" s="237"/>
      <c r="H34" s="237"/>
      <c r="I34" s="237"/>
      <c r="J34" s="237"/>
      <c r="K34" s="37"/>
    </row>
    <row r="35" spans="1:11" ht="15" customHeight="1">
      <c r="A35" s="236"/>
      <c r="B35" s="236"/>
      <c r="C35" s="238"/>
      <c r="D35" s="238"/>
      <c r="E35" s="238"/>
      <c r="F35" s="238"/>
      <c r="G35" s="238"/>
      <c r="H35" s="238"/>
      <c r="I35" s="238"/>
      <c r="J35" s="238"/>
      <c r="K35" s="210"/>
    </row>
    <row r="36" spans="1:11" ht="49.5" customHeight="1">
      <c r="A36" s="96" t="s">
        <v>22</v>
      </c>
      <c r="B36" s="194">
        <v>1500</v>
      </c>
      <c r="C36" s="239" t="s">
        <v>23</v>
      </c>
      <c r="D36" s="219" t="s">
        <v>237</v>
      </c>
      <c r="E36" s="195">
        <f>1/(F36*G36)*B36</f>
        <v>75</v>
      </c>
      <c r="F36" s="195">
        <v>20</v>
      </c>
      <c r="G36" s="195">
        <v>1</v>
      </c>
      <c r="H36" s="195">
        <f>G36*F36*E36</f>
        <v>1500</v>
      </c>
      <c r="I36" s="194" t="s">
        <v>127</v>
      </c>
      <c r="J36" s="240">
        <f>B36*194/100000</f>
        <v>2.91</v>
      </c>
      <c r="K36" s="241" t="s">
        <v>380</v>
      </c>
    </row>
    <row r="37" spans="1:11" ht="15" customHeight="1">
      <c r="A37" s="115" t="s">
        <v>28</v>
      </c>
      <c r="B37" s="194">
        <v>5</v>
      </c>
      <c r="C37" s="196" t="s">
        <v>66</v>
      </c>
      <c r="D37" s="37" t="s">
        <v>116</v>
      </c>
      <c r="E37" s="195">
        <v>3.05</v>
      </c>
      <c r="F37" s="195">
        <v>2</v>
      </c>
      <c r="G37" s="195">
        <v>2.2000000000000002</v>
      </c>
      <c r="H37" s="195">
        <f t="shared" ref="H37:H54" si="5">G37*F37*E37</f>
        <v>13.42</v>
      </c>
      <c r="I37" s="194" t="s">
        <v>577</v>
      </c>
      <c r="J37" s="240">
        <f>90970/100000</f>
        <v>0.90969999999999995</v>
      </c>
      <c r="K37" s="226" t="s">
        <v>381</v>
      </c>
    </row>
    <row r="38" spans="1:11" ht="15" customHeight="1">
      <c r="A38" s="115"/>
      <c r="B38" s="194">
        <v>20</v>
      </c>
      <c r="C38" s="35" t="s">
        <v>67</v>
      </c>
      <c r="D38" s="37" t="s">
        <v>116</v>
      </c>
      <c r="E38" s="195">
        <v>3.05</v>
      </c>
      <c r="F38" s="195">
        <v>2</v>
      </c>
      <c r="G38" s="195">
        <v>2.2000000000000002</v>
      </c>
      <c r="H38" s="195">
        <f t="shared" si="5"/>
        <v>13.42</v>
      </c>
      <c r="I38" s="194" t="s">
        <v>577</v>
      </c>
      <c r="J38" s="240">
        <f>123880/100000</f>
        <v>1.2387999999999999</v>
      </c>
      <c r="K38" s="226" t="s">
        <v>382</v>
      </c>
    </row>
    <row r="39" spans="1:11" ht="15" customHeight="1">
      <c r="A39" s="114" t="s">
        <v>29</v>
      </c>
      <c r="B39" s="194">
        <v>780</v>
      </c>
      <c r="C39" s="209" t="s">
        <v>30</v>
      </c>
      <c r="D39" s="219" t="s">
        <v>237</v>
      </c>
      <c r="E39" s="195">
        <f t="shared" ref="E39:E45" si="6">1/(F39*G39)*B39</f>
        <v>52</v>
      </c>
      <c r="F39" s="195">
        <v>5</v>
      </c>
      <c r="G39" s="195">
        <v>3</v>
      </c>
      <c r="H39" s="195">
        <f t="shared" si="5"/>
        <v>780</v>
      </c>
      <c r="I39" s="194" t="s">
        <v>127</v>
      </c>
      <c r="J39" s="240">
        <f>B39*194/100000</f>
        <v>1.5132000000000001</v>
      </c>
      <c r="K39" s="242" t="s">
        <v>383</v>
      </c>
    </row>
    <row r="40" spans="1:11" ht="15" customHeight="1">
      <c r="A40" s="112"/>
      <c r="B40" s="194">
        <v>780</v>
      </c>
      <c r="C40" s="239" t="s">
        <v>30</v>
      </c>
      <c r="D40" s="219" t="s">
        <v>237</v>
      </c>
      <c r="E40" s="195">
        <f t="shared" si="6"/>
        <v>95.823095823095812</v>
      </c>
      <c r="F40" s="195">
        <v>3.7</v>
      </c>
      <c r="G40" s="195">
        <v>2.2000000000000002</v>
      </c>
      <c r="H40" s="195">
        <f t="shared" si="5"/>
        <v>780</v>
      </c>
      <c r="I40" s="194" t="s">
        <v>127</v>
      </c>
      <c r="J40" s="240">
        <f t="shared" ref="J40:J45" si="7">B40*194/100000</f>
        <v>1.5132000000000001</v>
      </c>
      <c r="K40" s="243"/>
    </row>
    <row r="41" spans="1:11" ht="15" customHeight="1">
      <c r="A41" s="112"/>
      <c r="B41" s="194">
        <v>780</v>
      </c>
      <c r="C41" s="239" t="s">
        <v>30</v>
      </c>
      <c r="D41" s="219" t="s">
        <v>237</v>
      </c>
      <c r="E41" s="195">
        <f t="shared" si="6"/>
        <v>95.823095823095812</v>
      </c>
      <c r="F41" s="195">
        <v>3.7</v>
      </c>
      <c r="G41" s="195">
        <v>2.2000000000000002</v>
      </c>
      <c r="H41" s="195">
        <f t="shared" si="5"/>
        <v>780</v>
      </c>
      <c r="I41" s="194" t="s">
        <v>127</v>
      </c>
      <c r="J41" s="240">
        <f t="shared" si="7"/>
        <v>1.5132000000000001</v>
      </c>
      <c r="K41" s="243"/>
    </row>
    <row r="42" spans="1:11" ht="15" customHeight="1">
      <c r="A42" s="112"/>
      <c r="B42" s="194">
        <v>780</v>
      </c>
      <c r="C42" s="239" t="s">
        <v>30</v>
      </c>
      <c r="D42" s="219" t="s">
        <v>237</v>
      </c>
      <c r="E42" s="195">
        <f t="shared" si="6"/>
        <v>95.823095823095812</v>
      </c>
      <c r="F42" s="195">
        <v>3.7</v>
      </c>
      <c r="G42" s="195">
        <v>2.2000000000000002</v>
      </c>
      <c r="H42" s="195">
        <f t="shared" si="5"/>
        <v>780</v>
      </c>
      <c r="I42" s="194" t="s">
        <v>127</v>
      </c>
      <c r="J42" s="240">
        <f t="shared" si="7"/>
        <v>1.5132000000000001</v>
      </c>
      <c r="K42" s="243"/>
    </row>
    <row r="43" spans="1:11" ht="15" customHeight="1">
      <c r="A43" s="112"/>
      <c r="B43" s="194">
        <v>780</v>
      </c>
      <c r="C43" s="239" t="s">
        <v>30</v>
      </c>
      <c r="D43" s="219" t="s">
        <v>237</v>
      </c>
      <c r="E43" s="195">
        <f t="shared" si="6"/>
        <v>95.823095823095812</v>
      </c>
      <c r="F43" s="195">
        <v>3.7</v>
      </c>
      <c r="G43" s="195">
        <v>2.2000000000000002</v>
      </c>
      <c r="H43" s="195">
        <f t="shared" si="5"/>
        <v>780</v>
      </c>
      <c r="I43" s="194" t="s">
        <v>127</v>
      </c>
      <c r="J43" s="240">
        <f t="shared" si="7"/>
        <v>1.5132000000000001</v>
      </c>
      <c r="K43" s="243"/>
    </row>
    <row r="44" spans="1:11" ht="15" customHeight="1">
      <c r="A44" s="112"/>
      <c r="B44" s="194">
        <v>780</v>
      </c>
      <c r="C44" s="239" t="s">
        <v>30</v>
      </c>
      <c r="D44" s="219" t="s">
        <v>237</v>
      </c>
      <c r="E44" s="195">
        <f t="shared" si="6"/>
        <v>95.823095823095812</v>
      </c>
      <c r="F44" s="195">
        <v>3.7</v>
      </c>
      <c r="G44" s="195">
        <v>2.2000000000000002</v>
      </c>
      <c r="H44" s="195">
        <f t="shared" si="5"/>
        <v>780</v>
      </c>
      <c r="I44" s="194" t="s">
        <v>127</v>
      </c>
      <c r="J44" s="240">
        <f t="shared" si="7"/>
        <v>1.5132000000000001</v>
      </c>
      <c r="K44" s="243"/>
    </row>
    <row r="45" spans="1:11" ht="15" customHeight="1">
      <c r="A45" s="113"/>
      <c r="B45" s="194">
        <v>780</v>
      </c>
      <c r="C45" s="239" t="s">
        <v>30</v>
      </c>
      <c r="D45" s="219" t="s">
        <v>237</v>
      </c>
      <c r="E45" s="195">
        <f t="shared" si="6"/>
        <v>95.823095823095812</v>
      </c>
      <c r="F45" s="195">
        <v>3.7</v>
      </c>
      <c r="G45" s="195">
        <v>2.2000000000000002</v>
      </c>
      <c r="H45" s="195">
        <f t="shared" si="5"/>
        <v>780</v>
      </c>
      <c r="I45" s="194" t="s">
        <v>127</v>
      </c>
      <c r="J45" s="240">
        <f t="shared" si="7"/>
        <v>1.5132000000000001</v>
      </c>
      <c r="K45" s="243"/>
    </row>
    <row r="46" spans="1:11" ht="15" customHeight="1">
      <c r="A46" s="100"/>
      <c r="B46" s="190"/>
      <c r="C46" s="198"/>
      <c r="D46" s="199"/>
      <c r="E46" s="190"/>
      <c r="F46" s="190"/>
      <c r="G46" s="190"/>
      <c r="H46" s="187"/>
      <c r="I46" s="187"/>
      <c r="J46" s="190"/>
      <c r="K46" s="244"/>
    </row>
    <row r="47" spans="1:11" ht="15" customHeight="1">
      <c r="A47" s="245" t="s">
        <v>32</v>
      </c>
      <c r="B47" s="236"/>
      <c r="C47" s="201"/>
      <c r="D47" s="201"/>
      <c r="E47" s="201"/>
      <c r="F47" s="201"/>
      <c r="G47" s="201"/>
      <c r="H47" s="195"/>
      <c r="I47" s="194"/>
      <c r="J47" s="201"/>
      <c r="K47" s="37"/>
    </row>
    <row r="48" spans="1:11" ht="26.25" customHeight="1">
      <c r="A48" s="98" t="s">
        <v>96</v>
      </c>
      <c r="B48" s="187">
        <v>10</v>
      </c>
      <c r="C48" s="204" t="s">
        <v>111</v>
      </c>
      <c r="D48" s="205" t="s">
        <v>112</v>
      </c>
      <c r="E48" s="187">
        <v>2</v>
      </c>
      <c r="F48" s="187">
        <v>1.2</v>
      </c>
      <c r="G48" s="187">
        <v>1.5</v>
      </c>
      <c r="H48" s="195">
        <f t="shared" si="5"/>
        <v>3.5999999999999996</v>
      </c>
      <c r="I48" s="194" t="s">
        <v>127</v>
      </c>
      <c r="J48" s="246">
        <f>34895.56/100000</f>
        <v>0.34895559999999998</v>
      </c>
      <c r="K48" s="247" t="s">
        <v>385</v>
      </c>
    </row>
    <row r="49" spans="1:11" ht="15" customHeight="1">
      <c r="A49" s="112" t="s">
        <v>98</v>
      </c>
      <c r="B49" s="206">
        <v>50</v>
      </c>
      <c r="C49" s="207" t="s">
        <v>115</v>
      </c>
      <c r="D49" s="205" t="s">
        <v>112</v>
      </c>
      <c r="E49" s="195">
        <v>65</v>
      </c>
      <c r="F49" s="195">
        <v>3</v>
      </c>
      <c r="G49" s="195">
        <v>0.1</v>
      </c>
      <c r="H49" s="195">
        <f t="shared" si="5"/>
        <v>19.500000000000004</v>
      </c>
      <c r="I49" s="194" t="s">
        <v>127</v>
      </c>
      <c r="J49" s="240">
        <f>59700/100000</f>
        <v>0.59699999999999998</v>
      </c>
      <c r="K49" s="247" t="s">
        <v>384</v>
      </c>
    </row>
    <row r="50" spans="1:11" s="1" customFormat="1" ht="15" customHeight="1">
      <c r="A50" s="112"/>
      <c r="B50" s="206">
        <v>500</v>
      </c>
      <c r="C50" s="248" t="s">
        <v>118</v>
      </c>
      <c r="D50" s="205" t="s">
        <v>112</v>
      </c>
      <c r="E50" s="195">
        <f t="shared" ref="E50" si="8">1/(F50*G50)*B50</f>
        <v>47.619047619047613</v>
      </c>
      <c r="F50" s="195">
        <v>3.5</v>
      </c>
      <c r="G50" s="195">
        <v>3</v>
      </c>
      <c r="H50" s="195">
        <f t="shared" si="5"/>
        <v>499.99999999999994</v>
      </c>
      <c r="I50" s="194" t="s">
        <v>127</v>
      </c>
      <c r="J50" s="240">
        <f>B50*194/100000</f>
        <v>0.97</v>
      </c>
      <c r="K50" s="247" t="s">
        <v>386</v>
      </c>
    </row>
    <row r="51" spans="1:11" ht="15" customHeight="1">
      <c r="A51" s="112"/>
      <c r="B51" s="194">
        <v>50</v>
      </c>
      <c r="C51" s="249" t="s">
        <v>35</v>
      </c>
      <c r="D51" s="205" t="s">
        <v>112</v>
      </c>
      <c r="E51" s="195">
        <v>45</v>
      </c>
      <c r="F51" s="195">
        <v>3.7</v>
      </c>
      <c r="G51" s="195">
        <v>0.15</v>
      </c>
      <c r="H51" s="195">
        <f t="shared" si="5"/>
        <v>24.975000000000001</v>
      </c>
      <c r="I51" s="194" t="s">
        <v>127</v>
      </c>
      <c r="J51" s="240">
        <f>109700/100000</f>
        <v>1.097</v>
      </c>
      <c r="K51" s="226" t="s">
        <v>387</v>
      </c>
    </row>
    <row r="52" spans="1:11" ht="15" customHeight="1">
      <c r="A52" s="114" t="s">
        <v>36</v>
      </c>
      <c r="B52" s="194">
        <v>1200</v>
      </c>
      <c r="C52" s="62" t="s">
        <v>49</v>
      </c>
      <c r="D52" s="205" t="s">
        <v>112</v>
      </c>
      <c r="E52" s="195">
        <f t="shared" ref="E52:E53" si="9">1/(F52*G52)*B52</f>
        <v>80</v>
      </c>
      <c r="F52" s="195">
        <v>15</v>
      </c>
      <c r="G52" s="195">
        <v>1</v>
      </c>
      <c r="H52" s="195">
        <f t="shared" si="5"/>
        <v>1200</v>
      </c>
      <c r="I52" s="194" t="s">
        <v>127</v>
      </c>
      <c r="J52" s="240">
        <f>B52*194/100000</f>
        <v>2.3279999999999998</v>
      </c>
      <c r="K52" s="247" t="s">
        <v>388</v>
      </c>
    </row>
    <row r="53" spans="1:11" ht="15" customHeight="1">
      <c r="A53" s="113"/>
      <c r="B53" s="194">
        <v>2801</v>
      </c>
      <c r="C53" s="62" t="s">
        <v>113</v>
      </c>
      <c r="D53" s="205" t="s">
        <v>112</v>
      </c>
      <c r="E53" s="195">
        <f t="shared" si="9"/>
        <v>23.341666666666665</v>
      </c>
      <c r="F53" s="195">
        <v>40</v>
      </c>
      <c r="G53" s="195">
        <v>3</v>
      </c>
      <c r="H53" s="195">
        <f t="shared" si="5"/>
        <v>2801</v>
      </c>
      <c r="I53" s="194" t="s">
        <v>127</v>
      </c>
      <c r="J53" s="240">
        <f>B53*194/100000</f>
        <v>5.4339399999999998</v>
      </c>
      <c r="K53" s="247" t="s">
        <v>389</v>
      </c>
    </row>
    <row r="54" spans="1:11" ht="32.25" customHeight="1">
      <c r="A54" s="37" t="s">
        <v>114</v>
      </c>
      <c r="B54" s="194">
        <v>50</v>
      </c>
      <c r="C54" s="250" t="s">
        <v>37</v>
      </c>
      <c r="D54" s="205" t="s">
        <v>112</v>
      </c>
      <c r="E54" s="195">
        <v>15</v>
      </c>
      <c r="F54" s="195">
        <v>1.2</v>
      </c>
      <c r="G54" s="195">
        <v>2.2000000000000002</v>
      </c>
      <c r="H54" s="195">
        <f t="shared" si="5"/>
        <v>39.6</v>
      </c>
      <c r="I54" s="194" t="s">
        <v>127</v>
      </c>
      <c r="J54" s="240">
        <f>109700/100000</f>
        <v>1.097</v>
      </c>
      <c r="K54" s="226" t="s">
        <v>390</v>
      </c>
    </row>
    <row r="55" spans="1:11" ht="15" customHeight="1">
      <c r="A55" s="99"/>
      <c r="B55" s="214">
        <f>SUM(B11:B54)</f>
        <v>28900</v>
      </c>
      <c r="C55" s="251"/>
      <c r="D55" s="252"/>
      <c r="E55" s="213"/>
      <c r="F55" s="213"/>
      <c r="G55" s="213"/>
      <c r="H55" s="213"/>
      <c r="I55" s="213"/>
      <c r="J55" s="253">
        <f>SUM(J11:J54)</f>
        <v>62.295555599999986</v>
      </c>
      <c r="K55" s="210"/>
    </row>
    <row r="56" spans="1:11" ht="15" customHeight="1">
      <c r="A56" s="210"/>
      <c r="B56" s="214"/>
      <c r="C56" s="210"/>
      <c r="D56" s="210"/>
      <c r="E56" s="210"/>
      <c r="F56" s="210"/>
      <c r="G56" s="210"/>
      <c r="H56" s="210"/>
      <c r="I56" s="210"/>
      <c r="J56" s="215">
        <f>E4/100000</f>
        <v>62.295555555555559</v>
      </c>
      <c r="K56" s="210"/>
    </row>
    <row r="57" spans="1:11" ht="15" customHeight="1">
      <c r="A57" s="210"/>
      <c r="B57" s="254">
        <f>B3*100</f>
        <v>28900</v>
      </c>
      <c r="C57" s="210"/>
      <c r="D57" s="210"/>
      <c r="E57" s="210"/>
      <c r="F57" s="210"/>
      <c r="G57" s="210"/>
      <c r="H57" s="210"/>
      <c r="I57" s="210"/>
      <c r="J57" s="255">
        <f>E2/100000</f>
        <v>56.066000000000003</v>
      </c>
      <c r="K57" s="210"/>
    </row>
    <row r="58" spans="1:11" ht="15" customHeight="1">
      <c r="A58" s="256" t="s">
        <v>38</v>
      </c>
      <c r="B58" s="210"/>
      <c r="C58" s="257">
        <f>E2/100000</f>
        <v>56.066000000000003</v>
      </c>
      <c r="D58" s="258" t="s">
        <v>39</v>
      </c>
      <c r="E58" s="210"/>
      <c r="F58" s="210"/>
      <c r="G58" s="210"/>
      <c r="H58" s="210"/>
      <c r="I58" s="210"/>
      <c r="J58" s="210"/>
      <c r="K58" s="210"/>
    </row>
    <row r="59" spans="1:11" ht="15" customHeight="1">
      <c r="A59" s="256" t="s">
        <v>40</v>
      </c>
      <c r="B59" s="210"/>
      <c r="C59" s="257">
        <f>C58*(1/9)</f>
        <v>6.2295555555555557</v>
      </c>
      <c r="D59" s="258" t="s">
        <v>39</v>
      </c>
      <c r="E59" s="210"/>
      <c r="F59" s="210"/>
      <c r="G59" s="210"/>
      <c r="H59" s="210"/>
      <c r="I59" s="210"/>
      <c r="J59" s="210"/>
      <c r="K59" s="210"/>
    </row>
    <row r="60" spans="1:11" ht="15" customHeight="1">
      <c r="A60" s="258" t="s">
        <v>108</v>
      </c>
      <c r="B60" s="210"/>
      <c r="C60" s="210"/>
      <c r="D60" s="210"/>
      <c r="E60" s="210"/>
      <c r="F60" s="210"/>
      <c r="G60" s="210"/>
      <c r="H60" s="210"/>
      <c r="I60" s="210"/>
      <c r="J60" s="259"/>
      <c r="K60" s="210"/>
    </row>
    <row r="61" spans="1:11" ht="15" customHeight="1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</row>
    <row r="62" spans="1:11" ht="15" customHeight="1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</row>
    <row r="63" spans="1:11" ht="15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</row>
    <row r="64" spans="1:11" ht="15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</row>
    <row r="65" spans="1:11" ht="15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</row>
    <row r="66" spans="1:11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21">
    <mergeCell ref="E2:G2"/>
    <mergeCell ref="E3:G3"/>
    <mergeCell ref="E4:G4"/>
    <mergeCell ref="E5:G5"/>
    <mergeCell ref="E6:G6"/>
    <mergeCell ref="K7:K8"/>
    <mergeCell ref="J7:J8"/>
    <mergeCell ref="A37:A38"/>
    <mergeCell ref="A49:A51"/>
    <mergeCell ref="A52:A53"/>
    <mergeCell ref="A39:A45"/>
    <mergeCell ref="E7:I8"/>
    <mergeCell ref="A13:A14"/>
    <mergeCell ref="A15:A16"/>
    <mergeCell ref="A17:A27"/>
    <mergeCell ref="A7:A8"/>
    <mergeCell ref="B7:B8"/>
    <mergeCell ref="C7:C8"/>
    <mergeCell ref="D7:D8"/>
    <mergeCell ref="K17:K27"/>
    <mergeCell ref="K39:K4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81"/>
  <sheetViews>
    <sheetView topLeftCell="A61" workbookViewId="0">
      <selection activeCell="A16" sqref="A16:K80"/>
    </sheetView>
  </sheetViews>
  <sheetFormatPr defaultRowHeight="15"/>
  <cols>
    <col min="1" max="1" width="20.42578125" customWidth="1"/>
    <col min="3" max="3" width="20.28515625" customWidth="1"/>
    <col min="4" max="4" width="26.28515625" customWidth="1"/>
    <col min="5" max="5" width="6.28515625" customWidth="1"/>
    <col min="6" max="6" width="5.28515625" customWidth="1"/>
    <col min="7" max="7" width="5.42578125" customWidth="1"/>
    <col min="8" max="8" width="5.85546875" customWidth="1"/>
    <col min="9" max="9" width="6" customWidth="1"/>
    <col min="10" max="10" width="9" bestFit="1" customWidth="1"/>
    <col min="11" max="11" width="28" bestFit="1" customWidth="1"/>
  </cols>
  <sheetData>
    <row r="1" spans="1:11">
      <c r="A1" s="10" t="s">
        <v>261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</row>
    <row r="2" spans="1:11">
      <c r="A2" s="2"/>
      <c r="B2" s="6"/>
      <c r="C2" s="3"/>
      <c r="D2" s="3" t="s">
        <v>0</v>
      </c>
      <c r="E2" s="138">
        <f>B3*194*100</f>
        <v>10786400</v>
      </c>
      <c r="F2" s="138"/>
      <c r="G2" s="138"/>
      <c r="H2" s="68"/>
      <c r="I2" s="68"/>
      <c r="J2" s="9"/>
      <c r="K2" s="1"/>
    </row>
    <row r="3" spans="1:11">
      <c r="A3" s="10" t="s">
        <v>1</v>
      </c>
      <c r="B3" s="6">
        <v>556</v>
      </c>
      <c r="C3" s="3"/>
      <c r="D3" s="3" t="s">
        <v>2</v>
      </c>
      <c r="E3" s="139">
        <f>E2*1/9</f>
        <v>1198488.888888889</v>
      </c>
      <c r="F3" s="139"/>
      <c r="G3" s="139"/>
      <c r="H3" s="69"/>
      <c r="I3" s="69"/>
      <c r="J3" s="21"/>
      <c r="K3" s="1"/>
    </row>
    <row r="4" spans="1:11">
      <c r="A4" s="7"/>
      <c r="B4" s="5"/>
      <c r="C4" s="3"/>
      <c r="D4" s="3" t="s">
        <v>3</v>
      </c>
      <c r="E4" s="139">
        <f>SUM(E2:E3)</f>
        <v>11984888.888888888</v>
      </c>
      <c r="F4" s="139"/>
      <c r="G4" s="139"/>
      <c r="H4" s="69"/>
      <c r="I4" s="69"/>
      <c r="J4" s="9"/>
      <c r="K4" s="1"/>
    </row>
    <row r="5" spans="1:11">
      <c r="A5" s="7"/>
      <c r="B5" s="5"/>
      <c r="C5" s="3"/>
      <c r="D5" s="3" t="s">
        <v>4</v>
      </c>
      <c r="E5" s="139">
        <f>E4*0.06</f>
        <v>719093.33333333326</v>
      </c>
      <c r="F5" s="139"/>
      <c r="G5" s="139"/>
      <c r="H5" s="69"/>
      <c r="I5" s="69"/>
      <c r="J5" s="9"/>
      <c r="K5" s="1"/>
    </row>
    <row r="6" spans="1:11">
      <c r="A6" s="7"/>
      <c r="B6" s="5"/>
      <c r="C6" s="3"/>
      <c r="D6" s="3" t="s">
        <v>5</v>
      </c>
      <c r="E6" s="140">
        <f>SUM(E4:E5)</f>
        <v>12703982.222222222</v>
      </c>
      <c r="F6" s="140"/>
      <c r="G6" s="140"/>
      <c r="H6" s="57"/>
      <c r="I6" s="57"/>
      <c r="J6" s="9"/>
      <c r="K6" s="1"/>
    </row>
    <row r="7" spans="1:1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572</v>
      </c>
      <c r="K7" s="150" t="s">
        <v>119</v>
      </c>
    </row>
    <row r="8" spans="1:11">
      <c r="A8" s="117"/>
      <c r="B8" s="118"/>
      <c r="C8" s="120"/>
      <c r="D8" s="122"/>
      <c r="E8" s="129"/>
      <c r="F8" s="130"/>
      <c r="G8" s="130"/>
      <c r="H8" s="130"/>
      <c r="I8" s="131"/>
      <c r="J8" s="149"/>
      <c r="K8" s="151"/>
    </row>
    <row r="9" spans="1:11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111"/>
      <c r="K9" s="152"/>
    </row>
    <row r="10" spans="1:11">
      <c r="A10" s="146" t="s">
        <v>11</v>
      </c>
      <c r="B10" s="147"/>
      <c r="C10" s="147"/>
      <c r="D10" s="147"/>
      <c r="E10" s="147"/>
      <c r="F10" s="147"/>
      <c r="G10" s="147"/>
      <c r="H10" s="147"/>
      <c r="I10" s="147"/>
      <c r="J10" s="148"/>
      <c r="K10" s="16"/>
    </row>
    <row r="11" spans="1:11" ht="30">
      <c r="A11" s="29" t="s">
        <v>12</v>
      </c>
      <c r="B11" s="70">
        <v>216</v>
      </c>
      <c r="C11" s="61" t="s">
        <v>189</v>
      </c>
      <c r="D11" s="73" t="s">
        <v>237</v>
      </c>
      <c r="E11" s="17">
        <v>6</v>
      </c>
      <c r="F11" s="70">
        <v>6</v>
      </c>
      <c r="G11" s="70">
        <v>2</v>
      </c>
      <c r="H11" s="70">
        <f t="shared" ref="H11:H32" si="0">G11*F11*E11</f>
        <v>72</v>
      </c>
      <c r="I11" s="18" t="s">
        <v>126</v>
      </c>
      <c r="J11" s="18">
        <f>B11*194/100000</f>
        <v>0.41904000000000002</v>
      </c>
      <c r="K11" s="85" t="s">
        <v>391</v>
      </c>
    </row>
    <row r="12" spans="1:11">
      <c r="A12" s="72" t="s">
        <v>151</v>
      </c>
      <c r="B12" s="18">
        <v>100</v>
      </c>
      <c r="C12" s="30" t="s">
        <v>152</v>
      </c>
      <c r="D12" s="30" t="s">
        <v>343</v>
      </c>
      <c r="E12" s="17">
        <v>3</v>
      </c>
      <c r="F12" s="70">
        <v>3</v>
      </c>
      <c r="G12" s="17">
        <v>2</v>
      </c>
      <c r="H12" s="70">
        <f t="shared" si="0"/>
        <v>18</v>
      </c>
      <c r="I12" s="18" t="s">
        <v>127</v>
      </c>
      <c r="J12" s="18">
        <f>88800/100000</f>
        <v>0.88800000000000001</v>
      </c>
      <c r="K12" s="85" t="s">
        <v>392</v>
      </c>
    </row>
    <row r="13" spans="1:11" ht="45">
      <c r="A13" s="72" t="s">
        <v>229</v>
      </c>
      <c r="B13" s="18">
        <v>50</v>
      </c>
      <c r="C13" s="30" t="s">
        <v>230</v>
      </c>
      <c r="D13" s="64" t="s">
        <v>344</v>
      </c>
      <c r="E13" s="17">
        <v>3</v>
      </c>
      <c r="F13" s="70">
        <v>3</v>
      </c>
      <c r="G13" s="17">
        <v>2</v>
      </c>
      <c r="H13" s="70">
        <f t="shared" si="0"/>
        <v>18</v>
      </c>
      <c r="I13" s="18" t="s">
        <v>127</v>
      </c>
      <c r="J13" s="18">
        <f>116728/100000</f>
        <v>1.1672800000000001</v>
      </c>
      <c r="K13" s="87" t="s">
        <v>393</v>
      </c>
    </row>
    <row r="14" spans="1:11">
      <c r="A14" s="153" t="s">
        <v>15</v>
      </c>
      <c r="B14" s="18">
        <v>570</v>
      </c>
      <c r="C14" s="11" t="s">
        <v>16</v>
      </c>
      <c r="D14" s="64" t="s">
        <v>343</v>
      </c>
      <c r="E14" s="17">
        <f t="shared" ref="E14:E32" si="1">1/(F14*G14)*B14</f>
        <v>6333.333333333333</v>
      </c>
      <c r="F14" s="70">
        <v>0.3</v>
      </c>
      <c r="G14" s="17">
        <v>0.3</v>
      </c>
      <c r="H14" s="70">
        <f t="shared" si="0"/>
        <v>570</v>
      </c>
      <c r="I14" s="18" t="s">
        <v>127</v>
      </c>
      <c r="J14" s="18">
        <f>B14*194/100000</f>
        <v>1.1057999999999999</v>
      </c>
      <c r="K14" s="85" t="s">
        <v>394</v>
      </c>
    </row>
    <row r="15" spans="1:11">
      <c r="A15" s="153"/>
      <c r="B15" s="18">
        <v>500</v>
      </c>
      <c r="C15" s="12" t="s">
        <v>188</v>
      </c>
      <c r="D15" s="64" t="s">
        <v>343</v>
      </c>
      <c r="E15" s="17">
        <f t="shared" si="1"/>
        <v>5555.5555555555557</v>
      </c>
      <c r="F15" s="70">
        <v>0.3</v>
      </c>
      <c r="G15" s="17">
        <v>0.3</v>
      </c>
      <c r="H15" s="70">
        <f t="shared" si="0"/>
        <v>500</v>
      </c>
      <c r="I15" s="18" t="s">
        <v>127</v>
      </c>
      <c r="J15" s="18">
        <f>B15*194/100000</f>
        <v>0.97</v>
      </c>
      <c r="K15" s="85" t="s">
        <v>395</v>
      </c>
    </row>
    <row r="16" spans="1:11" ht="18.75" customHeight="1">
      <c r="A16" s="260" t="s">
        <v>19</v>
      </c>
      <c r="B16" s="194">
        <v>1500</v>
      </c>
      <c r="C16" s="229" t="s">
        <v>20</v>
      </c>
      <c r="D16" s="219" t="s">
        <v>237</v>
      </c>
      <c r="E16" s="195">
        <f t="shared" si="1"/>
        <v>1000</v>
      </c>
      <c r="F16" s="217">
        <v>1.5</v>
      </c>
      <c r="G16" s="195">
        <v>1</v>
      </c>
      <c r="H16" s="217">
        <f t="shared" si="0"/>
        <v>1500</v>
      </c>
      <c r="I16" s="194" t="s">
        <v>127</v>
      </c>
      <c r="J16" s="194">
        <f>B16*194/100000</f>
        <v>2.91</v>
      </c>
      <c r="K16" s="242" t="s">
        <v>396</v>
      </c>
    </row>
    <row r="17" spans="1:11">
      <c r="A17" s="261"/>
      <c r="B17" s="194">
        <v>1500</v>
      </c>
      <c r="C17" s="229" t="s">
        <v>20</v>
      </c>
      <c r="D17" s="219" t="s">
        <v>237</v>
      </c>
      <c r="E17" s="195">
        <f t="shared" si="1"/>
        <v>1000</v>
      </c>
      <c r="F17" s="195">
        <v>1.5</v>
      </c>
      <c r="G17" s="195">
        <v>1</v>
      </c>
      <c r="H17" s="217">
        <f t="shared" si="0"/>
        <v>1500</v>
      </c>
      <c r="I17" s="194" t="s">
        <v>127</v>
      </c>
      <c r="J17" s="194">
        <f t="shared" ref="J17:J23" si="2">B17*194/100000</f>
        <v>2.91</v>
      </c>
      <c r="K17" s="243"/>
    </row>
    <row r="18" spans="1:11">
      <c r="A18" s="261"/>
      <c r="B18" s="194">
        <v>1500</v>
      </c>
      <c r="C18" s="229" t="s">
        <v>20</v>
      </c>
      <c r="D18" s="219" t="s">
        <v>237</v>
      </c>
      <c r="E18" s="195">
        <f t="shared" si="1"/>
        <v>1000</v>
      </c>
      <c r="F18" s="195">
        <v>1.5</v>
      </c>
      <c r="G18" s="195">
        <v>1</v>
      </c>
      <c r="H18" s="217">
        <f t="shared" si="0"/>
        <v>1500</v>
      </c>
      <c r="I18" s="194" t="s">
        <v>127</v>
      </c>
      <c r="J18" s="194">
        <f t="shared" si="2"/>
        <v>2.91</v>
      </c>
      <c r="K18" s="243"/>
    </row>
    <row r="19" spans="1:11">
      <c r="A19" s="261"/>
      <c r="B19" s="194">
        <v>1500</v>
      </c>
      <c r="C19" s="229" t="s">
        <v>20</v>
      </c>
      <c r="D19" s="219" t="s">
        <v>237</v>
      </c>
      <c r="E19" s="195">
        <f t="shared" si="1"/>
        <v>1000</v>
      </c>
      <c r="F19" s="195">
        <v>1.5</v>
      </c>
      <c r="G19" s="195">
        <v>1</v>
      </c>
      <c r="H19" s="217">
        <f t="shared" si="0"/>
        <v>1500</v>
      </c>
      <c r="I19" s="194" t="s">
        <v>127</v>
      </c>
      <c r="J19" s="194">
        <f t="shared" si="2"/>
        <v>2.91</v>
      </c>
      <c r="K19" s="243"/>
    </row>
    <row r="20" spans="1:11">
      <c r="A20" s="261"/>
      <c r="B20" s="194">
        <v>1500</v>
      </c>
      <c r="C20" s="229" t="s">
        <v>20</v>
      </c>
      <c r="D20" s="219" t="s">
        <v>237</v>
      </c>
      <c r="E20" s="195">
        <f t="shared" si="1"/>
        <v>1000</v>
      </c>
      <c r="F20" s="195">
        <v>1.5</v>
      </c>
      <c r="G20" s="195">
        <v>1</v>
      </c>
      <c r="H20" s="217">
        <f t="shared" si="0"/>
        <v>1500</v>
      </c>
      <c r="I20" s="194" t="s">
        <v>127</v>
      </c>
      <c r="J20" s="194">
        <f t="shared" si="2"/>
        <v>2.91</v>
      </c>
      <c r="K20" s="243"/>
    </row>
    <row r="21" spans="1:11">
      <c r="A21" s="261"/>
      <c r="B21" s="194">
        <v>1500</v>
      </c>
      <c r="C21" s="229" t="s">
        <v>20</v>
      </c>
      <c r="D21" s="219" t="s">
        <v>237</v>
      </c>
      <c r="E21" s="195">
        <f t="shared" si="1"/>
        <v>1000</v>
      </c>
      <c r="F21" s="195">
        <v>1.5</v>
      </c>
      <c r="G21" s="195">
        <v>1</v>
      </c>
      <c r="H21" s="217">
        <f t="shared" si="0"/>
        <v>1500</v>
      </c>
      <c r="I21" s="194" t="s">
        <v>127</v>
      </c>
      <c r="J21" s="194">
        <f t="shared" si="2"/>
        <v>2.91</v>
      </c>
      <c r="K21" s="243"/>
    </row>
    <row r="22" spans="1:11">
      <c r="A22" s="261"/>
      <c r="B22" s="194">
        <v>1500</v>
      </c>
      <c r="C22" s="229" t="s">
        <v>20</v>
      </c>
      <c r="D22" s="219" t="s">
        <v>237</v>
      </c>
      <c r="E22" s="195">
        <f t="shared" si="1"/>
        <v>1000</v>
      </c>
      <c r="F22" s="195">
        <v>1.5</v>
      </c>
      <c r="G22" s="195">
        <v>1</v>
      </c>
      <c r="H22" s="217">
        <f t="shared" si="0"/>
        <v>1500</v>
      </c>
      <c r="I22" s="194" t="s">
        <v>127</v>
      </c>
      <c r="J22" s="194">
        <f t="shared" si="2"/>
        <v>2.91</v>
      </c>
      <c r="K22" s="243"/>
    </row>
    <row r="23" spans="1:11">
      <c r="A23" s="261"/>
      <c r="B23" s="194">
        <v>1500</v>
      </c>
      <c r="C23" s="229" t="s">
        <v>20</v>
      </c>
      <c r="D23" s="219" t="s">
        <v>237</v>
      </c>
      <c r="E23" s="195">
        <f t="shared" si="1"/>
        <v>1000</v>
      </c>
      <c r="F23" s="195">
        <v>1.5</v>
      </c>
      <c r="G23" s="195">
        <v>1</v>
      </c>
      <c r="H23" s="217">
        <f t="shared" si="0"/>
        <v>1500</v>
      </c>
      <c r="I23" s="194" t="s">
        <v>127</v>
      </c>
      <c r="J23" s="194">
        <f t="shared" si="2"/>
        <v>2.91</v>
      </c>
      <c r="K23" s="244"/>
    </row>
    <row r="24" spans="1:11" s="1" customFormat="1">
      <c r="A24" s="261"/>
      <c r="B24" s="194"/>
      <c r="C24" s="229"/>
      <c r="D24" s="262"/>
      <c r="E24" s="195"/>
      <c r="F24" s="195"/>
      <c r="G24" s="195"/>
      <c r="H24" s="217"/>
      <c r="I24" s="194"/>
      <c r="J24" s="194"/>
      <c r="K24" s="210"/>
    </row>
    <row r="25" spans="1:11" s="1" customFormat="1">
      <c r="A25" s="261"/>
      <c r="B25" s="194">
        <v>1500</v>
      </c>
      <c r="C25" s="229" t="s">
        <v>20</v>
      </c>
      <c r="D25" s="219" t="s">
        <v>237</v>
      </c>
      <c r="E25" s="195">
        <f t="shared" ref="E25:E28" si="3">1/(F25*G25)*B25</f>
        <v>1000</v>
      </c>
      <c r="F25" s="195">
        <v>1.5</v>
      </c>
      <c r="G25" s="195">
        <v>1</v>
      </c>
      <c r="H25" s="217">
        <f t="shared" ref="H25:H28" si="4">G25*F25*E25</f>
        <v>1500</v>
      </c>
      <c r="I25" s="194" t="s">
        <v>127</v>
      </c>
      <c r="J25" s="194">
        <f>B25*194/100000</f>
        <v>2.91</v>
      </c>
      <c r="K25" s="242" t="s">
        <v>397</v>
      </c>
    </row>
    <row r="26" spans="1:11" s="1" customFormat="1">
      <c r="A26" s="261"/>
      <c r="B26" s="194">
        <v>1500</v>
      </c>
      <c r="C26" s="229" t="s">
        <v>20</v>
      </c>
      <c r="D26" s="219" t="s">
        <v>237</v>
      </c>
      <c r="E26" s="195">
        <f t="shared" si="3"/>
        <v>1000</v>
      </c>
      <c r="F26" s="195">
        <v>1.5</v>
      </c>
      <c r="G26" s="195">
        <v>1</v>
      </c>
      <c r="H26" s="217">
        <f t="shared" si="4"/>
        <v>1500</v>
      </c>
      <c r="I26" s="194" t="s">
        <v>127</v>
      </c>
      <c r="J26" s="194">
        <f t="shared" ref="J26:J34" si="5">B26*194/100000</f>
        <v>2.91</v>
      </c>
      <c r="K26" s="243"/>
    </row>
    <row r="27" spans="1:11" s="1" customFormat="1">
      <c r="A27" s="261"/>
      <c r="B27" s="194">
        <v>1500</v>
      </c>
      <c r="C27" s="229" t="s">
        <v>20</v>
      </c>
      <c r="D27" s="219" t="s">
        <v>237</v>
      </c>
      <c r="E27" s="195">
        <f t="shared" si="3"/>
        <v>1000</v>
      </c>
      <c r="F27" s="195">
        <v>1.5</v>
      </c>
      <c r="G27" s="195">
        <v>1</v>
      </c>
      <c r="H27" s="217">
        <f t="shared" si="4"/>
        <v>1500</v>
      </c>
      <c r="I27" s="194" t="s">
        <v>127</v>
      </c>
      <c r="J27" s="194">
        <f t="shared" si="5"/>
        <v>2.91</v>
      </c>
      <c r="K27" s="243"/>
    </row>
    <row r="28" spans="1:11" s="1" customFormat="1">
      <c r="A28" s="261"/>
      <c r="B28" s="194">
        <v>1500</v>
      </c>
      <c r="C28" s="229" t="s">
        <v>20</v>
      </c>
      <c r="D28" s="219" t="s">
        <v>237</v>
      </c>
      <c r="E28" s="195">
        <f t="shared" si="3"/>
        <v>1000</v>
      </c>
      <c r="F28" s="195">
        <v>1.5</v>
      </c>
      <c r="G28" s="195">
        <v>1</v>
      </c>
      <c r="H28" s="217">
        <f t="shared" si="4"/>
        <v>1500</v>
      </c>
      <c r="I28" s="194" t="s">
        <v>127</v>
      </c>
      <c r="J28" s="194">
        <f t="shared" si="5"/>
        <v>2.91</v>
      </c>
      <c r="K28" s="243"/>
    </row>
    <row r="29" spans="1:11">
      <c r="A29" s="261"/>
      <c r="B29" s="194">
        <v>1500</v>
      </c>
      <c r="C29" s="229" t="s">
        <v>20</v>
      </c>
      <c r="D29" s="219" t="s">
        <v>237</v>
      </c>
      <c r="E29" s="195">
        <f t="shared" si="1"/>
        <v>1000</v>
      </c>
      <c r="F29" s="195">
        <v>1.5</v>
      </c>
      <c r="G29" s="195">
        <v>1</v>
      </c>
      <c r="H29" s="217">
        <f t="shared" si="0"/>
        <v>1500</v>
      </c>
      <c r="I29" s="194" t="s">
        <v>127</v>
      </c>
      <c r="J29" s="194">
        <f t="shared" si="5"/>
        <v>2.91</v>
      </c>
      <c r="K29" s="243"/>
    </row>
    <row r="30" spans="1:11">
      <c r="A30" s="261"/>
      <c r="B30" s="194">
        <v>1500</v>
      </c>
      <c r="C30" s="229" t="s">
        <v>20</v>
      </c>
      <c r="D30" s="219" t="s">
        <v>237</v>
      </c>
      <c r="E30" s="195">
        <f t="shared" si="1"/>
        <v>1000</v>
      </c>
      <c r="F30" s="195">
        <v>1.5</v>
      </c>
      <c r="G30" s="195">
        <v>1</v>
      </c>
      <c r="H30" s="217">
        <f t="shared" si="0"/>
        <v>1500</v>
      </c>
      <c r="I30" s="194" t="s">
        <v>127</v>
      </c>
      <c r="J30" s="194">
        <f t="shared" si="5"/>
        <v>2.91</v>
      </c>
      <c r="K30" s="243"/>
    </row>
    <row r="31" spans="1:11">
      <c r="A31" s="261"/>
      <c r="B31" s="194">
        <v>1500</v>
      </c>
      <c r="C31" s="262" t="s">
        <v>232</v>
      </c>
      <c r="D31" s="219" t="s">
        <v>237</v>
      </c>
      <c r="E31" s="195">
        <f>1/(F31*G31)*B31</f>
        <v>1500</v>
      </c>
      <c r="F31" s="195">
        <v>1</v>
      </c>
      <c r="G31" s="195">
        <v>1</v>
      </c>
      <c r="H31" s="217">
        <f t="shared" si="0"/>
        <v>1500</v>
      </c>
      <c r="I31" s="194" t="s">
        <v>127</v>
      </c>
      <c r="J31" s="194">
        <f t="shared" si="5"/>
        <v>2.91</v>
      </c>
      <c r="K31" s="243"/>
    </row>
    <row r="32" spans="1:11">
      <c r="A32" s="261"/>
      <c r="B32" s="194">
        <v>1500</v>
      </c>
      <c r="C32" s="262" t="s">
        <v>232</v>
      </c>
      <c r="D32" s="219" t="s">
        <v>237</v>
      </c>
      <c r="E32" s="195">
        <f t="shared" si="1"/>
        <v>1500</v>
      </c>
      <c r="F32" s="195">
        <v>1</v>
      </c>
      <c r="G32" s="195">
        <v>1</v>
      </c>
      <c r="H32" s="217">
        <f t="shared" si="0"/>
        <v>1500</v>
      </c>
      <c r="I32" s="194" t="s">
        <v>127</v>
      </c>
      <c r="J32" s="194">
        <f t="shared" si="5"/>
        <v>2.91</v>
      </c>
      <c r="K32" s="243"/>
    </row>
    <row r="33" spans="1:11">
      <c r="A33" s="261"/>
      <c r="B33" s="194">
        <v>1500</v>
      </c>
      <c r="C33" s="262" t="s">
        <v>232</v>
      </c>
      <c r="D33" s="219" t="s">
        <v>237</v>
      </c>
      <c r="E33" s="195">
        <f>1/(F33*G33)*B33</f>
        <v>75</v>
      </c>
      <c r="F33" s="195">
        <v>20</v>
      </c>
      <c r="G33" s="195">
        <v>1</v>
      </c>
      <c r="H33" s="217">
        <f>G33*F33*E33</f>
        <v>1500</v>
      </c>
      <c r="I33" s="194" t="s">
        <v>127</v>
      </c>
      <c r="J33" s="194">
        <f t="shared" si="5"/>
        <v>2.91</v>
      </c>
      <c r="K33" s="243"/>
    </row>
    <row r="34" spans="1:11">
      <c r="A34" s="261"/>
      <c r="B34" s="194">
        <v>1500</v>
      </c>
      <c r="C34" s="262" t="s">
        <v>179</v>
      </c>
      <c r="D34" s="219" t="s">
        <v>237</v>
      </c>
      <c r="E34" s="195">
        <f t="shared" ref="E34" si="6">1/(F34*G34)*B34</f>
        <v>75</v>
      </c>
      <c r="F34" s="195">
        <v>20</v>
      </c>
      <c r="G34" s="195">
        <v>1</v>
      </c>
      <c r="H34" s="217">
        <f t="shared" ref="H34" si="7">G34*F34*E34</f>
        <v>1500</v>
      </c>
      <c r="I34" s="194" t="s">
        <v>127</v>
      </c>
      <c r="J34" s="194">
        <f t="shared" si="5"/>
        <v>2.91</v>
      </c>
      <c r="K34" s="244"/>
    </row>
    <row r="35" spans="1:11" s="1" customFormat="1">
      <c r="A35" s="235"/>
      <c r="B35" s="263"/>
      <c r="C35" s="264"/>
      <c r="D35" s="264"/>
      <c r="E35" s="265"/>
      <c r="F35" s="265"/>
      <c r="G35" s="265"/>
      <c r="H35" s="266"/>
      <c r="I35" s="263"/>
      <c r="J35" s="263"/>
      <c r="K35" s="210"/>
    </row>
    <row r="36" spans="1:11">
      <c r="A36" s="201" t="s">
        <v>21</v>
      </c>
      <c r="B36" s="236"/>
      <c r="C36" s="201"/>
      <c r="D36" s="201"/>
      <c r="E36" s="201"/>
      <c r="F36" s="201"/>
      <c r="G36" s="201"/>
      <c r="H36" s="201"/>
      <c r="I36" s="201"/>
      <c r="J36" s="201"/>
      <c r="K36" s="210"/>
    </row>
    <row r="37" spans="1:11">
      <c r="A37" s="156" t="s">
        <v>28</v>
      </c>
      <c r="B37" s="194">
        <v>20</v>
      </c>
      <c r="C37" s="196" t="s">
        <v>66</v>
      </c>
      <c r="D37" s="262" t="s">
        <v>343</v>
      </c>
      <c r="E37" s="195">
        <v>3.05</v>
      </c>
      <c r="F37" s="195">
        <v>2</v>
      </c>
      <c r="G37" s="195">
        <v>2.2000000000000002</v>
      </c>
      <c r="H37" s="195">
        <f t="shared" ref="H37:H73" si="8">G37*F37*E37</f>
        <v>13.42</v>
      </c>
      <c r="I37" s="194" t="s">
        <v>577</v>
      </c>
      <c r="J37" s="194">
        <f>93880/100000</f>
        <v>0.93879999999999997</v>
      </c>
      <c r="K37" s="247" t="s">
        <v>398</v>
      </c>
    </row>
    <row r="38" spans="1:11">
      <c r="A38" s="157"/>
      <c r="B38" s="194">
        <v>50</v>
      </c>
      <c r="C38" s="75" t="s">
        <v>67</v>
      </c>
      <c r="D38" s="262" t="s">
        <v>343</v>
      </c>
      <c r="E38" s="195">
        <v>3.05</v>
      </c>
      <c r="F38" s="195">
        <v>2</v>
      </c>
      <c r="G38" s="195">
        <v>2.2000000000000002</v>
      </c>
      <c r="H38" s="195">
        <f t="shared" si="8"/>
        <v>13.42</v>
      </c>
      <c r="I38" s="194" t="s">
        <v>577</v>
      </c>
      <c r="J38" s="194">
        <f>369700/100000</f>
        <v>3.6970000000000001</v>
      </c>
      <c r="K38" s="247" t="s">
        <v>399</v>
      </c>
    </row>
    <row r="39" spans="1:11">
      <c r="A39" s="156" t="s">
        <v>29</v>
      </c>
      <c r="B39" s="194">
        <v>780</v>
      </c>
      <c r="C39" s="209" t="s">
        <v>30</v>
      </c>
      <c r="D39" s="219" t="s">
        <v>237</v>
      </c>
      <c r="E39" s="195">
        <f t="shared" ref="E39:E63" si="9">1/(F39*G39)*B39</f>
        <v>95.823095823095812</v>
      </c>
      <c r="F39" s="195">
        <v>3.7</v>
      </c>
      <c r="G39" s="195">
        <v>2.2000000000000002</v>
      </c>
      <c r="H39" s="195">
        <f t="shared" si="8"/>
        <v>780</v>
      </c>
      <c r="I39" s="194" t="s">
        <v>127</v>
      </c>
      <c r="J39" s="194">
        <f>B39*194/100000</f>
        <v>1.5132000000000001</v>
      </c>
      <c r="K39" s="230" t="s">
        <v>400</v>
      </c>
    </row>
    <row r="40" spans="1:11">
      <c r="A40" s="157"/>
      <c r="B40" s="194">
        <v>780</v>
      </c>
      <c r="C40" s="239" t="s">
        <v>30</v>
      </c>
      <c r="D40" s="219" t="s">
        <v>237</v>
      </c>
      <c r="E40" s="195">
        <f t="shared" si="9"/>
        <v>95.823095823095812</v>
      </c>
      <c r="F40" s="195">
        <v>3.7</v>
      </c>
      <c r="G40" s="195">
        <v>2.2000000000000002</v>
      </c>
      <c r="H40" s="195">
        <f t="shared" si="8"/>
        <v>780</v>
      </c>
      <c r="I40" s="194" t="s">
        <v>127</v>
      </c>
      <c r="J40" s="194">
        <f t="shared" ref="J40:J48" si="10">B40*194/100000</f>
        <v>1.5132000000000001</v>
      </c>
      <c r="K40" s="230"/>
    </row>
    <row r="41" spans="1:11">
      <c r="A41" s="157"/>
      <c r="B41" s="194">
        <v>780</v>
      </c>
      <c r="C41" s="239" t="s">
        <v>30</v>
      </c>
      <c r="D41" s="219" t="s">
        <v>237</v>
      </c>
      <c r="E41" s="195">
        <f t="shared" si="9"/>
        <v>95.823095823095812</v>
      </c>
      <c r="F41" s="195">
        <v>3.7</v>
      </c>
      <c r="G41" s="195">
        <v>2.2000000000000002</v>
      </c>
      <c r="H41" s="195">
        <f t="shared" si="8"/>
        <v>780</v>
      </c>
      <c r="I41" s="194" t="s">
        <v>127</v>
      </c>
      <c r="J41" s="194">
        <f t="shared" si="10"/>
        <v>1.5132000000000001</v>
      </c>
      <c r="K41" s="230"/>
    </row>
    <row r="42" spans="1:11">
      <c r="A42" s="157"/>
      <c r="B42" s="194">
        <v>780</v>
      </c>
      <c r="C42" s="239" t="s">
        <v>30</v>
      </c>
      <c r="D42" s="219" t="s">
        <v>237</v>
      </c>
      <c r="E42" s="195">
        <f t="shared" si="9"/>
        <v>95.823095823095812</v>
      </c>
      <c r="F42" s="195">
        <v>3.7</v>
      </c>
      <c r="G42" s="195">
        <v>2.2000000000000002</v>
      </c>
      <c r="H42" s="195">
        <f t="shared" si="8"/>
        <v>780</v>
      </c>
      <c r="I42" s="194" t="s">
        <v>127</v>
      </c>
      <c r="J42" s="194">
        <f t="shared" si="10"/>
        <v>1.5132000000000001</v>
      </c>
      <c r="K42" s="230"/>
    </row>
    <row r="43" spans="1:11">
      <c r="A43" s="157"/>
      <c r="B43" s="194">
        <v>780</v>
      </c>
      <c r="C43" s="239" t="s">
        <v>30</v>
      </c>
      <c r="D43" s="219" t="s">
        <v>237</v>
      </c>
      <c r="E43" s="195">
        <f t="shared" si="9"/>
        <v>95.823095823095812</v>
      </c>
      <c r="F43" s="195">
        <v>3.7</v>
      </c>
      <c r="G43" s="195">
        <v>2.2000000000000002</v>
      </c>
      <c r="H43" s="195">
        <f t="shared" si="8"/>
        <v>780</v>
      </c>
      <c r="I43" s="194" t="s">
        <v>127</v>
      </c>
      <c r="J43" s="194">
        <f t="shared" si="10"/>
        <v>1.5132000000000001</v>
      </c>
      <c r="K43" s="230"/>
    </row>
    <row r="44" spans="1:11">
      <c r="A44" s="157"/>
      <c r="B44" s="194">
        <v>780</v>
      </c>
      <c r="C44" s="239" t="s">
        <v>30</v>
      </c>
      <c r="D44" s="219" t="s">
        <v>237</v>
      </c>
      <c r="E44" s="195">
        <f t="shared" si="9"/>
        <v>95.823095823095812</v>
      </c>
      <c r="F44" s="195">
        <v>3.7</v>
      </c>
      <c r="G44" s="195">
        <v>2.2000000000000002</v>
      </c>
      <c r="H44" s="195">
        <f t="shared" si="8"/>
        <v>780</v>
      </c>
      <c r="I44" s="194" t="s">
        <v>127</v>
      </c>
      <c r="J44" s="194">
        <f t="shared" si="10"/>
        <v>1.5132000000000001</v>
      </c>
      <c r="K44" s="230"/>
    </row>
    <row r="45" spans="1:11">
      <c r="A45" s="157"/>
      <c r="B45" s="194">
        <v>780</v>
      </c>
      <c r="C45" s="239" t="s">
        <v>30</v>
      </c>
      <c r="D45" s="219" t="s">
        <v>237</v>
      </c>
      <c r="E45" s="195">
        <f t="shared" si="9"/>
        <v>95.823095823095812</v>
      </c>
      <c r="F45" s="195">
        <v>3.7</v>
      </c>
      <c r="G45" s="195">
        <v>2.2000000000000002</v>
      </c>
      <c r="H45" s="195">
        <f t="shared" si="8"/>
        <v>780</v>
      </c>
      <c r="I45" s="194" t="s">
        <v>127</v>
      </c>
      <c r="J45" s="194">
        <f t="shared" si="10"/>
        <v>1.5132000000000001</v>
      </c>
      <c r="K45" s="230"/>
    </row>
    <row r="46" spans="1:11">
      <c r="A46" s="157"/>
      <c r="B46" s="194">
        <v>780</v>
      </c>
      <c r="C46" s="239" t="s">
        <v>30</v>
      </c>
      <c r="D46" s="219" t="s">
        <v>237</v>
      </c>
      <c r="E46" s="195">
        <f t="shared" si="9"/>
        <v>95.823095823095812</v>
      </c>
      <c r="F46" s="195">
        <v>3.7</v>
      </c>
      <c r="G46" s="195">
        <v>2.2000000000000002</v>
      </c>
      <c r="H46" s="195">
        <f t="shared" si="8"/>
        <v>780</v>
      </c>
      <c r="I46" s="194" t="s">
        <v>127</v>
      </c>
      <c r="J46" s="194">
        <f t="shared" si="10"/>
        <v>1.5132000000000001</v>
      </c>
      <c r="K46" s="230"/>
    </row>
    <row r="47" spans="1:11">
      <c r="A47" s="157"/>
      <c r="B47" s="194">
        <v>780</v>
      </c>
      <c r="C47" s="239" t="s">
        <v>30</v>
      </c>
      <c r="D47" s="219" t="s">
        <v>237</v>
      </c>
      <c r="E47" s="195">
        <f t="shared" si="9"/>
        <v>95.823095823095812</v>
      </c>
      <c r="F47" s="195">
        <v>3.7</v>
      </c>
      <c r="G47" s="195">
        <v>2.2000000000000002</v>
      </c>
      <c r="H47" s="195">
        <f t="shared" si="8"/>
        <v>780</v>
      </c>
      <c r="I47" s="194" t="s">
        <v>127</v>
      </c>
      <c r="J47" s="194">
        <f t="shared" si="10"/>
        <v>1.5132000000000001</v>
      </c>
      <c r="K47" s="230"/>
    </row>
    <row r="48" spans="1:11">
      <c r="A48" s="157"/>
      <c r="B48" s="194">
        <v>780</v>
      </c>
      <c r="C48" s="239" t="s">
        <v>30</v>
      </c>
      <c r="D48" s="219" t="s">
        <v>237</v>
      </c>
      <c r="E48" s="195">
        <f t="shared" si="9"/>
        <v>95.823095823095812</v>
      </c>
      <c r="F48" s="195">
        <v>3.7</v>
      </c>
      <c r="G48" s="195">
        <v>2.2000000000000002</v>
      </c>
      <c r="H48" s="195">
        <f t="shared" si="8"/>
        <v>780</v>
      </c>
      <c r="I48" s="194" t="s">
        <v>127</v>
      </c>
      <c r="J48" s="194">
        <f t="shared" si="10"/>
        <v>1.5132000000000001</v>
      </c>
      <c r="K48" s="230"/>
    </row>
    <row r="49" spans="1:11" s="1" customFormat="1">
      <c r="A49" s="157"/>
      <c r="B49" s="194"/>
      <c r="C49" s="239"/>
      <c r="D49" s="262"/>
      <c r="E49" s="195"/>
      <c r="F49" s="195"/>
      <c r="G49" s="195"/>
      <c r="H49" s="195"/>
      <c r="I49" s="194"/>
      <c r="J49" s="194"/>
      <c r="K49" s="210"/>
    </row>
    <row r="50" spans="1:11">
      <c r="A50" s="157"/>
      <c r="B50" s="194">
        <v>780</v>
      </c>
      <c r="C50" s="239" t="s">
        <v>30</v>
      </c>
      <c r="D50" s="219" t="s">
        <v>237</v>
      </c>
      <c r="E50" s="195">
        <f t="shared" si="9"/>
        <v>95.823095823095812</v>
      </c>
      <c r="F50" s="195">
        <v>3.7</v>
      </c>
      <c r="G50" s="195">
        <v>2.2000000000000002</v>
      </c>
      <c r="H50" s="195">
        <f t="shared" si="8"/>
        <v>780</v>
      </c>
      <c r="I50" s="194" t="s">
        <v>127</v>
      </c>
      <c r="J50" s="194">
        <f>B50*194/100000</f>
        <v>1.5132000000000001</v>
      </c>
      <c r="K50" s="242" t="s">
        <v>401</v>
      </c>
    </row>
    <row r="51" spans="1:11">
      <c r="A51" s="157"/>
      <c r="B51" s="194">
        <v>780</v>
      </c>
      <c r="C51" s="239" t="s">
        <v>30</v>
      </c>
      <c r="D51" s="219" t="s">
        <v>237</v>
      </c>
      <c r="E51" s="195">
        <f t="shared" si="9"/>
        <v>95.823095823095812</v>
      </c>
      <c r="F51" s="195">
        <v>3.7</v>
      </c>
      <c r="G51" s="195">
        <v>2.2000000000000002</v>
      </c>
      <c r="H51" s="195">
        <f t="shared" si="8"/>
        <v>780</v>
      </c>
      <c r="I51" s="194" t="s">
        <v>127</v>
      </c>
      <c r="J51" s="194">
        <f t="shared" ref="J51:J63" si="11">B51*194/100000</f>
        <v>1.5132000000000001</v>
      </c>
      <c r="K51" s="243"/>
    </row>
    <row r="52" spans="1:11">
      <c r="A52" s="157"/>
      <c r="B52" s="194">
        <v>780</v>
      </c>
      <c r="C52" s="239" t="s">
        <v>30</v>
      </c>
      <c r="D52" s="219" t="s">
        <v>237</v>
      </c>
      <c r="E52" s="195">
        <f t="shared" si="9"/>
        <v>95.823095823095812</v>
      </c>
      <c r="F52" s="195">
        <v>3.7</v>
      </c>
      <c r="G52" s="195">
        <v>2.2000000000000002</v>
      </c>
      <c r="H52" s="195">
        <f t="shared" si="8"/>
        <v>780</v>
      </c>
      <c r="I52" s="194" t="s">
        <v>127</v>
      </c>
      <c r="J52" s="194">
        <f t="shared" si="11"/>
        <v>1.5132000000000001</v>
      </c>
      <c r="K52" s="243"/>
    </row>
    <row r="53" spans="1:11">
      <c r="A53" s="157"/>
      <c r="B53" s="194">
        <v>780</v>
      </c>
      <c r="C53" s="239" t="s">
        <v>30</v>
      </c>
      <c r="D53" s="219" t="s">
        <v>237</v>
      </c>
      <c r="E53" s="195">
        <f t="shared" si="9"/>
        <v>95.823095823095812</v>
      </c>
      <c r="F53" s="195">
        <v>3.7</v>
      </c>
      <c r="G53" s="195">
        <v>2.2000000000000002</v>
      </c>
      <c r="H53" s="195">
        <f t="shared" si="8"/>
        <v>780</v>
      </c>
      <c r="I53" s="194" t="s">
        <v>127</v>
      </c>
      <c r="J53" s="194">
        <f t="shared" si="11"/>
        <v>1.5132000000000001</v>
      </c>
      <c r="K53" s="243"/>
    </row>
    <row r="54" spans="1:11">
      <c r="A54" s="157"/>
      <c r="B54" s="194">
        <v>780</v>
      </c>
      <c r="C54" s="239" t="s">
        <v>30</v>
      </c>
      <c r="D54" s="219" t="s">
        <v>237</v>
      </c>
      <c r="E54" s="195">
        <f t="shared" si="9"/>
        <v>95.823095823095812</v>
      </c>
      <c r="F54" s="195">
        <v>3.7</v>
      </c>
      <c r="G54" s="195">
        <v>2.2000000000000002</v>
      </c>
      <c r="H54" s="195">
        <f t="shared" si="8"/>
        <v>780</v>
      </c>
      <c r="I54" s="194" t="s">
        <v>127</v>
      </c>
      <c r="J54" s="194">
        <f t="shared" si="11"/>
        <v>1.5132000000000001</v>
      </c>
      <c r="K54" s="243"/>
    </row>
    <row r="55" spans="1:11">
      <c r="A55" s="157"/>
      <c r="B55" s="194">
        <v>780</v>
      </c>
      <c r="C55" s="239" t="s">
        <v>30</v>
      </c>
      <c r="D55" s="219" t="s">
        <v>237</v>
      </c>
      <c r="E55" s="195">
        <f t="shared" si="9"/>
        <v>95.823095823095812</v>
      </c>
      <c r="F55" s="195">
        <v>3.7</v>
      </c>
      <c r="G55" s="195">
        <v>2.2000000000000002</v>
      </c>
      <c r="H55" s="195">
        <f t="shared" si="8"/>
        <v>780</v>
      </c>
      <c r="I55" s="194" t="s">
        <v>127</v>
      </c>
      <c r="J55" s="194">
        <f t="shared" si="11"/>
        <v>1.5132000000000001</v>
      </c>
      <c r="K55" s="243"/>
    </row>
    <row r="56" spans="1:11">
      <c r="A56" s="157"/>
      <c r="B56" s="194">
        <v>780</v>
      </c>
      <c r="C56" s="239" t="s">
        <v>30</v>
      </c>
      <c r="D56" s="219" t="s">
        <v>237</v>
      </c>
      <c r="E56" s="195">
        <f t="shared" si="9"/>
        <v>95.823095823095812</v>
      </c>
      <c r="F56" s="195">
        <v>3.7</v>
      </c>
      <c r="G56" s="195">
        <v>2.2000000000000002</v>
      </c>
      <c r="H56" s="195">
        <f t="shared" si="8"/>
        <v>780</v>
      </c>
      <c r="I56" s="194" t="s">
        <v>127</v>
      </c>
      <c r="J56" s="194">
        <f t="shared" si="11"/>
        <v>1.5132000000000001</v>
      </c>
      <c r="K56" s="243"/>
    </row>
    <row r="57" spans="1:11">
      <c r="A57" s="157"/>
      <c r="B57" s="194">
        <v>780</v>
      </c>
      <c r="C57" s="239" t="s">
        <v>30</v>
      </c>
      <c r="D57" s="219" t="s">
        <v>237</v>
      </c>
      <c r="E57" s="195">
        <f t="shared" si="9"/>
        <v>95.823095823095812</v>
      </c>
      <c r="F57" s="195">
        <v>3.7</v>
      </c>
      <c r="G57" s="195">
        <v>2.2000000000000002</v>
      </c>
      <c r="H57" s="195">
        <f t="shared" si="8"/>
        <v>780</v>
      </c>
      <c r="I57" s="194" t="s">
        <v>127</v>
      </c>
      <c r="J57" s="194">
        <f t="shared" si="11"/>
        <v>1.5132000000000001</v>
      </c>
      <c r="K57" s="243"/>
    </row>
    <row r="58" spans="1:11">
      <c r="A58" s="157"/>
      <c r="B58" s="194">
        <v>780</v>
      </c>
      <c r="C58" s="239" t="s">
        <v>30</v>
      </c>
      <c r="D58" s="219" t="s">
        <v>237</v>
      </c>
      <c r="E58" s="195">
        <f t="shared" si="9"/>
        <v>95.823095823095812</v>
      </c>
      <c r="F58" s="195">
        <v>3.7</v>
      </c>
      <c r="G58" s="195">
        <v>2.2000000000000002</v>
      </c>
      <c r="H58" s="195">
        <f t="shared" si="8"/>
        <v>780</v>
      </c>
      <c r="I58" s="194" t="s">
        <v>127</v>
      </c>
      <c r="J58" s="194">
        <f t="shared" si="11"/>
        <v>1.5132000000000001</v>
      </c>
      <c r="K58" s="243"/>
    </row>
    <row r="59" spans="1:11">
      <c r="A59" s="66"/>
      <c r="B59" s="194">
        <v>780</v>
      </c>
      <c r="C59" s="239" t="s">
        <v>30</v>
      </c>
      <c r="D59" s="219" t="s">
        <v>237</v>
      </c>
      <c r="E59" s="195">
        <f t="shared" si="9"/>
        <v>95.823095823095812</v>
      </c>
      <c r="F59" s="195">
        <v>3.7</v>
      </c>
      <c r="G59" s="195">
        <v>2.2000000000000002</v>
      </c>
      <c r="H59" s="195">
        <f t="shared" si="8"/>
        <v>780</v>
      </c>
      <c r="I59" s="194" t="s">
        <v>127</v>
      </c>
      <c r="J59" s="194">
        <f t="shared" si="11"/>
        <v>1.5132000000000001</v>
      </c>
      <c r="K59" s="243"/>
    </row>
    <row r="60" spans="1:11">
      <c r="A60" s="66"/>
      <c r="B60" s="194">
        <v>780</v>
      </c>
      <c r="C60" s="239" t="s">
        <v>30</v>
      </c>
      <c r="D60" s="219" t="s">
        <v>237</v>
      </c>
      <c r="E60" s="195">
        <f t="shared" si="9"/>
        <v>95.823095823095812</v>
      </c>
      <c r="F60" s="195">
        <v>3.7</v>
      </c>
      <c r="G60" s="195">
        <v>2.2000000000000002</v>
      </c>
      <c r="H60" s="195">
        <f t="shared" si="8"/>
        <v>780</v>
      </c>
      <c r="I60" s="194" t="s">
        <v>127</v>
      </c>
      <c r="J60" s="194">
        <f t="shared" si="11"/>
        <v>1.5132000000000001</v>
      </c>
      <c r="K60" s="243"/>
    </row>
    <row r="61" spans="1:11">
      <c r="A61" s="66"/>
      <c r="B61" s="194">
        <v>780</v>
      </c>
      <c r="C61" s="239" t="s">
        <v>30</v>
      </c>
      <c r="D61" s="219" t="s">
        <v>237</v>
      </c>
      <c r="E61" s="195">
        <f t="shared" si="9"/>
        <v>95.823095823095812</v>
      </c>
      <c r="F61" s="195">
        <v>3.7</v>
      </c>
      <c r="G61" s="195">
        <v>2.2000000000000002</v>
      </c>
      <c r="H61" s="195">
        <f t="shared" si="8"/>
        <v>780</v>
      </c>
      <c r="I61" s="194" t="s">
        <v>127</v>
      </c>
      <c r="J61" s="194">
        <f t="shared" si="11"/>
        <v>1.5132000000000001</v>
      </c>
      <c r="K61" s="243"/>
    </row>
    <row r="62" spans="1:11">
      <c r="A62" s="66"/>
      <c r="B62" s="194">
        <v>780</v>
      </c>
      <c r="C62" s="239" t="s">
        <v>30</v>
      </c>
      <c r="D62" s="219" t="s">
        <v>237</v>
      </c>
      <c r="E62" s="195">
        <f t="shared" si="9"/>
        <v>95.823095823095812</v>
      </c>
      <c r="F62" s="195">
        <v>3.7</v>
      </c>
      <c r="G62" s="195">
        <v>2.2000000000000002</v>
      </c>
      <c r="H62" s="195">
        <f t="shared" si="8"/>
        <v>780</v>
      </c>
      <c r="I62" s="194" t="s">
        <v>127</v>
      </c>
      <c r="J62" s="194">
        <f t="shared" si="11"/>
        <v>1.5132000000000001</v>
      </c>
      <c r="K62" s="243"/>
    </row>
    <row r="63" spans="1:11">
      <c r="A63" s="267"/>
      <c r="B63" s="194">
        <v>780</v>
      </c>
      <c r="C63" s="239" t="s">
        <v>30</v>
      </c>
      <c r="D63" s="219" t="s">
        <v>237</v>
      </c>
      <c r="E63" s="195">
        <f t="shared" si="9"/>
        <v>95.823095823095812</v>
      </c>
      <c r="F63" s="195">
        <v>3.7</v>
      </c>
      <c r="G63" s="195">
        <v>2.2000000000000002</v>
      </c>
      <c r="H63" s="195">
        <f t="shared" si="8"/>
        <v>780</v>
      </c>
      <c r="I63" s="194" t="s">
        <v>127</v>
      </c>
      <c r="J63" s="194">
        <f t="shared" si="11"/>
        <v>1.5132000000000001</v>
      </c>
      <c r="K63" s="244"/>
    </row>
    <row r="64" spans="1:11" s="1" customFormat="1">
      <c r="A64" s="267"/>
      <c r="B64" s="194"/>
      <c r="C64" s="268"/>
      <c r="D64" s="262"/>
      <c r="E64" s="195"/>
      <c r="F64" s="195"/>
      <c r="G64" s="195"/>
      <c r="H64" s="195"/>
      <c r="I64" s="194"/>
      <c r="J64" s="194"/>
      <c r="K64" s="210"/>
    </row>
    <row r="65" spans="1:11">
      <c r="A65" s="245" t="s">
        <v>32</v>
      </c>
      <c r="B65" s="194"/>
      <c r="C65" s="268"/>
      <c r="D65" s="196"/>
      <c r="E65" s="195"/>
      <c r="F65" s="195"/>
      <c r="G65" s="195"/>
      <c r="H65" s="195"/>
      <c r="I65" s="194"/>
      <c r="J65" s="194"/>
      <c r="K65" s="210"/>
    </row>
    <row r="66" spans="1:11">
      <c r="A66" s="158" t="s">
        <v>96</v>
      </c>
      <c r="B66" s="210"/>
      <c r="C66" s="210"/>
      <c r="D66" s="210"/>
      <c r="E66" s="210"/>
      <c r="F66" s="210"/>
      <c r="G66" s="210"/>
      <c r="H66" s="210"/>
      <c r="I66" s="210"/>
      <c r="J66" s="210"/>
      <c r="K66" s="210"/>
    </row>
    <row r="67" spans="1:11">
      <c r="A67" s="158"/>
      <c r="B67" s="187">
        <v>20</v>
      </c>
      <c r="C67" s="218" t="s">
        <v>258</v>
      </c>
      <c r="D67" s="262" t="s">
        <v>343</v>
      </c>
      <c r="E67" s="195">
        <v>2.5</v>
      </c>
      <c r="F67" s="195">
        <v>2.5</v>
      </c>
      <c r="G67" s="195">
        <v>2</v>
      </c>
      <c r="H67" s="195">
        <f t="shared" ref="H67" si="12">G67*F67*E67</f>
        <v>12.5</v>
      </c>
      <c r="I67" s="194" t="s">
        <v>127</v>
      </c>
      <c r="J67" s="194">
        <f>47760/100000</f>
        <v>0.47760000000000002</v>
      </c>
      <c r="K67" s="226" t="s">
        <v>402</v>
      </c>
    </row>
    <row r="68" spans="1:11">
      <c r="A68" s="158"/>
      <c r="B68" s="206">
        <v>200</v>
      </c>
      <c r="C68" s="207" t="s">
        <v>117</v>
      </c>
      <c r="D68" s="262" t="s">
        <v>343</v>
      </c>
      <c r="E68" s="195">
        <v>100</v>
      </c>
      <c r="F68" s="195">
        <v>1</v>
      </c>
      <c r="G68" s="195">
        <v>1</v>
      </c>
      <c r="H68" s="195">
        <f>G68*F68*E68</f>
        <v>100</v>
      </c>
      <c r="I68" s="187" t="s">
        <v>127</v>
      </c>
      <c r="J68" s="194">
        <f>127600/100000</f>
        <v>1.276</v>
      </c>
      <c r="K68" s="226" t="s">
        <v>403</v>
      </c>
    </row>
    <row r="69" spans="1:11">
      <c r="A69" s="159" t="s">
        <v>98</v>
      </c>
      <c r="B69" s="206">
        <v>200</v>
      </c>
      <c r="C69" s="209" t="s">
        <v>115</v>
      </c>
      <c r="D69" s="37" t="s">
        <v>347</v>
      </c>
      <c r="E69" s="269">
        <v>35</v>
      </c>
      <c r="F69" s="195">
        <v>3.5</v>
      </c>
      <c r="G69" s="195">
        <v>0.1</v>
      </c>
      <c r="H69" s="195">
        <f t="shared" si="8"/>
        <v>12.250000000000002</v>
      </c>
      <c r="I69" s="187" t="s">
        <v>127</v>
      </c>
      <c r="J69" s="194">
        <f>127600/100000</f>
        <v>1.276</v>
      </c>
      <c r="K69" s="247" t="s">
        <v>404</v>
      </c>
    </row>
    <row r="70" spans="1:11" s="1" customFormat="1">
      <c r="A70" s="160"/>
      <c r="B70" s="206">
        <v>50</v>
      </c>
      <c r="C70" s="270" t="s">
        <v>346</v>
      </c>
      <c r="D70" s="262" t="s">
        <v>343</v>
      </c>
      <c r="E70" s="269">
        <v>40</v>
      </c>
      <c r="F70" s="195">
        <v>3.5</v>
      </c>
      <c r="G70" s="195">
        <v>0.3</v>
      </c>
      <c r="H70" s="195">
        <f t="shared" si="8"/>
        <v>42</v>
      </c>
      <c r="I70" s="187" t="s">
        <v>127</v>
      </c>
      <c r="J70" s="194">
        <f>109700/100000</f>
        <v>1.097</v>
      </c>
      <c r="K70" s="247" t="s">
        <v>405</v>
      </c>
    </row>
    <row r="71" spans="1:11">
      <c r="A71" s="161"/>
      <c r="B71" s="206">
        <v>7374</v>
      </c>
      <c r="C71" s="270" t="s">
        <v>118</v>
      </c>
      <c r="D71" s="262" t="s">
        <v>343</v>
      </c>
      <c r="E71" s="195">
        <f>1/(F71*G71)*B71</f>
        <v>702.28571428571422</v>
      </c>
      <c r="F71" s="195">
        <v>3.5</v>
      </c>
      <c r="G71" s="195">
        <v>3</v>
      </c>
      <c r="H71" s="195">
        <f t="shared" si="8"/>
        <v>7373.9999999999991</v>
      </c>
      <c r="I71" s="194" t="s">
        <v>127</v>
      </c>
      <c r="J71" s="194">
        <f>B71*194/100000</f>
        <v>14.30556</v>
      </c>
      <c r="K71" s="247" t="s">
        <v>406</v>
      </c>
    </row>
    <row r="72" spans="1:11" s="1" customFormat="1">
      <c r="A72" s="114" t="s">
        <v>114</v>
      </c>
      <c r="B72" s="187">
        <v>500</v>
      </c>
      <c r="C72" s="207" t="s">
        <v>134</v>
      </c>
      <c r="D72" s="262" t="s">
        <v>343</v>
      </c>
      <c r="E72" s="195">
        <f t="shared" ref="E72" si="13">1/(F72*G72)*B72</f>
        <v>2469.1358024691358</v>
      </c>
      <c r="F72" s="195">
        <v>0.45</v>
      </c>
      <c r="G72" s="195">
        <v>0.45</v>
      </c>
      <c r="H72" s="195">
        <f>G72*F72*E72</f>
        <v>500.00000000000006</v>
      </c>
      <c r="I72" s="194" t="s">
        <v>127</v>
      </c>
      <c r="J72" s="194">
        <f>234000/100000</f>
        <v>2.34</v>
      </c>
      <c r="K72" s="226" t="s">
        <v>407</v>
      </c>
    </row>
    <row r="73" spans="1:11">
      <c r="A73" s="113"/>
      <c r="B73" s="206">
        <v>30</v>
      </c>
      <c r="C73" s="270" t="s">
        <v>52</v>
      </c>
      <c r="D73" s="37" t="s">
        <v>345</v>
      </c>
      <c r="E73" s="195">
        <v>3</v>
      </c>
      <c r="F73" s="195">
        <v>2</v>
      </c>
      <c r="G73" s="195">
        <v>1.2</v>
      </c>
      <c r="H73" s="195">
        <f t="shared" si="8"/>
        <v>7.1999999999999993</v>
      </c>
      <c r="I73" s="194" t="s">
        <v>127</v>
      </c>
      <c r="J73" s="194">
        <f>119400/100000</f>
        <v>1.194</v>
      </c>
      <c r="K73" s="226" t="s">
        <v>408</v>
      </c>
    </row>
    <row r="74" spans="1:11">
      <c r="A74" s="66"/>
      <c r="B74" s="214">
        <f>SUM(B11:B73)</f>
        <v>55600</v>
      </c>
      <c r="C74" s="251"/>
      <c r="D74" s="252"/>
      <c r="E74" s="213"/>
      <c r="F74" s="213"/>
      <c r="G74" s="213"/>
      <c r="H74" s="213"/>
      <c r="I74" s="213"/>
      <c r="J74" s="253">
        <f>SUM(J11:J73)</f>
        <v>119.84887999999991</v>
      </c>
      <c r="K74" s="210"/>
    </row>
    <row r="75" spans="1:11">
      <c r="A75" s="66"/>
      <c r="B75" s="214"/>
      <c r="C75" s="210"/>
      <c r="D75" s="210"/>
      <c r="E75" s="210"/>
      <c r="F75" s="210"/>
      <c r="G75" s="210"/>
      <c r="H75" s="210"/>
      <c r="I75" s="210"/>
      <c r="J75" s="215">
        <f>E4/100000</f>
        <v>119.84888888888888</v>
      </c>
      <c r="K75" s="210"/>
    </row>
    <row r="76" spans="1:11">
      <c r="A76" s="66"/>
      <c r="B76" s="254">
        <f>B3*100</f>
        <v>55600</v>
      </c>
      <c r="C76" s="210"/>
      <c r="D76" s="210"/>
      <c r="E76" s="210"/>
      <c r="F76" s="210"/>
      <c r="G76" s="210"/>
      <c r="H76" s="210"/>
      <c r="I76" s="210"/>
      <c r="J76" s="255">
        <f>E2/100000</f>
        <v>107.864</v>
      </c>
      <c r="K76" s="210"/>
    </row>
    <row r="77" spans="1:11">
      <c r="A77" s="256" t="s">
        <v>38</v>
      </c>
      <c r="B77" s="210"/>
      <c r="C77" s="257">
        <f>E2/100000</f>
        <v>107.864</v>
      </c>
      <c r="D77" s="258" t="s">
        <v>39</v>
      </c>
      <c r="E77" s="210"/>
      <c r="F77" s="210"/>
      <c r="G77" s="210"/>
      <c r="H77" s="210"/>
      <c r="I77" s="210"/>
      <c r="J77" s="210"/>
      <c r="K77" s="210"/>
    </row>
    <row r="78" spans="1:11">
      <c r="A78" s="256" t="s">
        <v>40</v>
      </c>
      <c r="B78" s="210"/>
      <c r="C78" s="257">
        <f>C77*(1/9)</f>
        <v>11.984888888888889</v>
      </c>
      <c r="D78" s="258" t="s">
        <v>39</v>
      </c>
      <c r="E78" s="210"/>
      <c r="F78" s="210"/>
      <c r="G78" s="210"/>
      <c r="H78" s="210"/>
      <c r="I78" s="210"/>
      <c r="J78" s="210"/>
      <c r="K78" s="271"/>
    </row>
    <row r="79" spans="1:11">
      <c r="A79" s="258" t="s">
        <v>108</v>
      </c>
      <c r="B79" s="210"/>
      <c r="C79" s="210"/>
      <c r="D79" s="210"/>
      <c r="E79" s="210"/>
      <c r="F79" s="210"/>
      <c r="G79" s="210"/>
      <c r="H79" s="210"/>
      <c r="I79" s="210"/>
      <c r="J79" s="259"/>
      <c r="K79" s="210"/>
    </row>
    <row r="80" spans="1:1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48"/>
    </row>
  </sheetData>
  <mergeCells count="24">
    <mergeCell ref="A72:A73"/>
    <mergeCell ref="K16:K23"/>
    <mergeCell ref="K25:K34"/>
    <mergeCell ref="K39:K48"/>
    <mergeCell ref="K50:K63"/>
    <mergeCell ref="A16:A34"/>
    <mergeCell ref="A37:A38"/>
    <mergeCell ref="A39:A58"/>
    <mergeCell ref="A66:A68"/>
    <mergeCell ref="A69:A71"/>
    <mergeCell ref="A10:J10"/>
    <mergeCell ref="J7:J9"/>
    <mergeCell ref="K7:K9"/>
    <mergeCell ref="A14:A15"/>
    <mergeCell ref="A7:A8"/>
    <mergeCell ref="B7:B8"/>
    <mergeCell ref="C7:C8"/>
    <mergeCell ref="D7:D8"/>
    <mergeCell ref="E7:I8"/>
    <mergeCell ref="E2:G2"/>
    <mergeCell ref="E3:G3"/>
    <mergeCell ref="E4:G4"/>
    <mergeCell ref="E5:G5"/>
    <mergeCell ref="E6:G6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K89"/>
  <sheetViews>
    <sheetView topLeftCell="A4" zoomScale="85" zoomScaleNormal="85" workbookViewId="0">
      <selection activeCell="A16" sqref="A16:K87"/>
    </sheetView>
  </sheetViews>
  <sheetFormatPr defaultRowHeight="15"/>
  <cols>
    <col min="1" max="1" width="15.42578125" customWidth="1"/>
    <col min="3" max="3" width="27.85546875" bestFit="1" customWidth="1"/>
    <col min="4" max="4" width="22.85546875" customWidth="1"/>
    <col min="6" max="6" width="3.85546875" bestFit="1" customWidth="1"/>
    <col min="7" max="7" width="4.85546875" bestFit="1" customWidth="1"/>
    <col min="8" max="8" width="5.42578125" customWidth="1"/>
    <col min="9" max="9" width="4.85546875" bestFit="1" customWidth="1"/>
    <col min="10" max="10" width="9.85546875" customWidth="1"/>
    <col min="11" max="11" width="28" bestFit="1" customWidth="1"/>
  </cols>
  <sheetData>
    <row r="1" spans="1:11">
      <c r="A1" s="10" t="s">
        <v>128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</row>
    <row r="2" spans="1:11">
      <c r="A2" s="2"/>
      <c r="B2" s="6"/>
      <c r="C2" s="3"/>
      <c r="D2" s="3" t="s">
        <v>0</v>
      </c>
      <c r="E2" s="138">
        <f>B3*194*100</f>
        <v>11911600</v>
      </c>
      <c r="F2" s="138"/>
      <c r="G2" s="138"/>
      <c r="H2" s="43"/>
      <c r="I2" s="43"/>
      <c r="J2" s="9"/>
      <c r="K2" s="1"/>
    </row>
    <row r="3" spans="1:11">
      <c r="A3" s="10" t="s">
        <v>1</v>
      </c>
      <c r="B3" s="6">
        <v>614</v>
      </c>
      <c r="C3" s="3"/>
      <c r="D3" s="3" t="s">
        <v>2</v>
      </c>
      <c r="E3" s="139">
        <f>E2*1/9</f>
        <v>1323511.111111111</v>
      </c>
      <c r="F3" s="139"/>
      <c r="G3" s="139"/>
      <c r="H3" s="44"/>
      <c r="I3" s="44"/>
      <c r="J3" s="21"/>
      <c r="K3" s="1"/>
    </row>
    <row r="4" spans="1:11">
      <c r="A4" s="7"/>
      <c r="B4" s="5"/>
      <c r="C4" s="3"/>
      <c r="D4" s="3" t="s">
        <v>3</v>
      </c>
      <c r="E4" s="139">
        <f>SUM(E2:E3)</f>
        <v>13235111.111111112</v>
      </c>
      <c r="F4" s="139"/>
      <c r="G4" s="139"/>
      <c r="H4" s="44"/>
      <c r="I4" s="44"/>
      <c r="J4" s="9"/>
      <c r="K4" s="1"/>
    </row>
    <row r="5" spans="1:11">
      <c r="A5" s="7"/>
      <c r="B5" s="5"/>
      <c r="C5" s="3"/>
      <c r="D5" s="3" t="s">
        <v>4</v>
      </c>
      <c r="E5" s="139">
        <f>E4*0.06</f>
        <v>794106.66666666674</v>
      </c>
      <c r="F5" s="139"/>
      <c r="G5" s="139"/>
      <c r="H5" s="44"/>
      <c r="I5" s="44"/>
      <c r="J5" s="9"/>
      <c r="K5" s="1"/>
    </row>
    <row r="6" spans="1:11">
      <c r="A6" s="7"/>
      <c r="B6" s="5"/>
      <c r="C6" s="3"/>
      <c r="D6" s="3" t="s">
        <v>5</v>
      </c>
      <c r="E6" s="140">
        <f>SUM(E4:E5)</f>
        <v>14029217.777777778</v>
      </c>
      <c r="F6" s="140"/>
      <c r="G6" s="140"/>
      <c r="H6" s="57"/>
      <c r="I6" s="57"/>
      <c r="J6" s="9"/>
      <c r="K6" s="1"/>
    </row>
    <row r="7" spans="1:1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571</v>
      </c>
      <c r="K7" s="162" t="s">
        <v>119</v>
      </c>
    </row>
    <row r="8" spans="1:11">
      <c r="A8" s="117"/>
      <c r="B8" s="118"/>
      <c r="C8" s="120"/>
      <c r="D8" s="122"/>
      <c r="E8" s="129"/>
      <c r="F8" s="130"/>
      <c r="G8" s="130"/>
      <c r="H8" s="130"/>
      <c r="I8" s="131"/>
      <c r="J8" s="111"/>
      <c r="K8" s="162"/>
    </row>
    <row r="9" spans="1:11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51"/>
      <c r="K9" s="162"/>
    </row>
    <row r="10" spans="1:11" ht="18.75" customHeight="1">
      <c r="A10" s="49" t="s">
        <v>11</v>
      </c>
      <c r="B10" s="20"/>
      <c r="C10" s="46"/>
      <c r="D10" s="12"/>
      <c r="E10" s="1"/>
      <c r="F10" s="1"/>
      <c r="G10" s="1"/>
      <c r="H10" s="1"/>
      <c r="I10" s="1"/>
      <c r="J10" s="18"/>
      <c r="K10" s="1"/>
    </row>
    <row r="11" spans="1:11" ht="45">
      <c r="A11" s="29" t="s">
        <v>12</v>
      </c>
      <c r="B11" s="45">
        <v>144</v>
      </c>
      <c r="C11" s="61" t="s">
        <v>109</v>
      </c>
      <c r="D11" s="12" t="s">
        <v>237</v>
      </c>
      <c r="E11" s="17">
        <f>1/(F11*G11)*B11</f>
        <v>24</v>
      </c>
      <c r="F11" s="45">
        <v>3</v>
      </c>
      <c r="G11" s="45">
        <v>2</v>
      </c>
      <c r="H11" s="45">
        <f>G11*F11*E11</f>
        <v>144</v>
      </c>
      <c r="I11" s="18" t="s">
        <v>126</v>
      </c>
      <c r="J11" s="18">
        <f>B11*194/100000</f>
        <v>0.27936</v>
      </c>
      <c r="K11" s="87" t="s">
        <v>409</v>
      </c>
    </row>
    <row r="12" spans="1:11">
      <c r="A12" s="104" t="s">
        <v>13</v>
      </c>
      <c r="B12" s="18"/>
      <c r="C12" s="11"/>
      <c r="D12" s="19"/>
      <c r="E12" s="17"/>
      <c r="F12" s="45"/>
      <c r="G12" s="17"/>
      <c r="H12" s="54">
        <f t="shared" ref="H12:H39" si="0">G12*F12*E12</f>
        <v>0</v>
      </c>
      <c r="I12" s="17"/>
      <c r="J12" s="18"/>
      <c r="K12" s="16"/>
    </row>
    <row r="13" spans="1:11">
      <c r="A13" s="106"/>
      <c r="B13" s="18">
        <v>10</v>
      </c>
      <c r="C13" s="12" t="s">
        <v>123</v>
      </c>
      <c r="D13" s="12" t="s">
        <v>53</v>
      </c>
      <c r="E13" s="17">
        <v>3</v>
      </c>
      <c r="F13" s="45">
        <v>3</v>
      </c>
      <c r="G13" s="17">
        <v>2</v>
      </c>
      <c r="H13" s="54">
        <f t="shared" si="0"/>
        <v>18</v>
      </c>
      <c r="I13" s="18" t="s">
        <v>127</v>
      </c>
      <c r="J13" s="18">
        <f>121940/100000</f>
        <v>1.2194</v>
      </c>
      <c r="K13" s="85" t="s">
        <v>410</v>
      </c>
    </row>
    <row r="14" spans="1:11">
      <c r="A14" s="116" t="s">
        <v>15</v>
      </c>
      <c r="B14" s="18">
        <v>300</v>
      </c>
      <c r="C14" s="11" t="s">
        <v>16</v>
      </c>
      <c r="D14" s="16" t="s">
        <v>120</v>
      </c>
      <c r="E14" s="17">
        <f t="shared" ref="E14" si="1">1/(F14*G14)*B14</f>
        <v>3333.333333333333</v>
      </c>
      <c r="F14" s="45">
        <v>0.3</v>
      </c>
      <c r="G14" s="17">
        <v>0.3</v>
      </c>
      <c r="H14" s="54">
        <f t="shared" si="0"/>
        <v>299.99999999999994</v>
      </c>
      <c r="I14" s="18" t="s">
        <v>127</v>
      </c>
      <c r="J14" s="18">
        <f>B14*194/100000</f>
        <v>0.58199999999999996</v>
      </c>
      <c r="K14" s="85" t="s">
        <v>411</v>
      </c>
    </row>
    <row r="15" spans="1:11">
      <c r="A15" s="116"/>
      <c r="B15" s="18">
        <v>300</v>
      </c>
      <c r="C15" s="11" t="s">
        <v>18</v>
      </c>
      <c r="D15" s="16" t="s">
        <v>53</v>
      </c>
      <c r="E15" s="17">
        <f>1/(F15*G15)*B15</f>
        <v>300</v>
      </c>
      <c r="F15" s="45">
        <v>1</v>
      </c>
      <c r="G15" s="17">
        <v>1</v>
      </c>
      <c r="H15" s="54">
        <f t="shared" si="0"/>
        <v>300</v>
      </c>
      <c r="I15" s="18" t="s">
        <v>127</v>
      </c>
      <c r="J15" s="89">
        <f t="shared" ref="J15:J26" si="2">B15*194/100000</f>
        <v>0.58199999999999996</v>
      </c>
      <c r="K15" s="85" t="s">
        <v>412</v>
      </c>
    </row>
    <row r="16" spans="1:11" ht="15" customHeight="1">
      <c r="A16" s="272" t="s">
        <v>19</v>
      </c>
      <c r="B16" s="194">
        <v>1500</v>
      </c>
      <c r="C16" s="229" t="s">
        <v>20</v>
      </c>
      <c r="D16" s="196" t="s">
        <v>237</v>
      </c>
      <c r="E16" s="195">
        <f t="shared" ref="E16:E26" si="3">1/(F16*G16)*B16</f>
        <v>1000</v>
      </c>
      <c r="F16" s="217">
        <v>1.5</v>
      </c>
      <c r="G16" s="195">
        <v>1</v>
      </c>
      <c r="H16" s="217">
        <f t="shared" si="0"/>
        <v>1500</v>
      </c>
      <c r="I16" s="194" t="s">
        <v>127</v>
      </c>
      <c r="J16" s="194">
        <f t="shared" si="2"/>
        <v>2.91</v>
      </c>
      <c r="K16" s="273" t="s">
        <v>413</v>
      </c>
    </row>
    <row r="17" spans="1:11">
      <c r="A17" s="274"/>
      <c r="B17" s="194">
        <v>1500</v>
      </c>
      <c r="C17" s="229" t="s">
        <v>20</v>
      </c>
      <c r="D17" s="196" t="s">
        <v>237</v>
      </c>
      <c r="E17" s="195">
        <f t="shared" si="3"/>
        <v>1000</v>
      </c>
      <c r="F17" s="195">
        <v>1.5</v>
      </c>
      <c r="G17" s="195">
        <v>1</v>
      </c>
      <c r="H17" s="217">
        <f t="shared" si="0"/>
        <v>1500</v>
      </c>
      <c r="I17" s="194" t="s">
        <v>127</v>
      </c>
      <c r="J17" s="194">
        <f t="shared" si="2"/>
        <v>2.91</v>
      </c>
      <c r="K17" s="273"/>
    </row>
    <row r="18" spans="1:11">
      <c r="A18" s="274"/>
      <c r="B18" s="194">
        <v>1500</v>
      </c>
      <c r="C18" s="229" t="s">
        <v>20</v>
      </c>
      <c r="D18" s="196" t="s">
        <v>237</v>
      </c>
      <c r="E18" s="195">
        <f t="shared" si="3"/>
        <v>1000</v>
      </c>
      <c r="F18" s="195">
        <v>1.5</v>
      </c>
      <c r="G18" s="195">
        <v>1</v>
      </c>
      <c r="H18" s="217">
        <f t="shared" si="0"/>
        <v>1500</v>
      </c>
      <c r="I18" s="194" t="s">
        <v>127</v>
      </c>
      <c r="J18" s="194">
        <f t="shared" si="2"/>
        <v>2.91</v>
      </c>
      <c r="K18" s="273"/>
    </row>
    <row r="19" spans="1:11">
      <c r="A19" s="274"/>
      <c r="B19" s="194">
        <v>1500</v>
      </c>
      <c r="C19" s="229" t="s">
        <v>20</v>
      </c>
      <c r="D19" s="196" t="s">
        <v>237</v>
      </c>
      <c r="E19" s="195">
        <f t="shared" si="3"/>
        <v>1000</v>
      </c>
      <c r="F19" s="195">
        <v>1.5</v>
      </c>
      <c r="G19" s="195">
        <v>1</v>
      </c>
      <c r="H19" s="217">
        <f t="shared" si="0"/>
        <v>1500</v>
      </c>
      <c r="I19" s="194" t="s">
        <v>127</v>
      </c>
      <c r="J19" s="194">
        <f t="shared" si="2"/>
        <v>2.91</v>
      </c>
      <c r="K19" s="273"/>
    </row>
    <row r="20" spans="1:11">
      <c r="A20" s="274"/>
      <c r="B20" s="194">
        <v>1500</v>
      </c>
      <c r="C20" s="229" t="s">
        <v>20</v>
      </c>
      <c r="D20" s="196" t="s">
        <v>237</v>
      </c>
      <c r="E20" s="195">
        <f t="shared" si="3"/>
        <v>1000</v>
      </c>
      <c r="F20" s="195">
        <v>1.5</v>
      </c>
      <c r="G20" s="195">
        <v>1</v>
      </c>
      <c r="H20" s="217">
        <f t="shared" si="0"/>
        <v>1500</v>
      </c>
      <c r="I20" s="194" t="s">
        <v>127</v>
      </c>
      <c r="J20" s="194">
        <f t="shared" si="2"/>
        <v>2.91</v>
      </c>
      <c r="K20" s="273"/>
    </row>
    <row r="21" spans="1:11">
      <c r="A21" s="274"/>
      <c r="B21" s="194">
        <v>1500</v>
      </c>
      <c r="C21" s="229" t="s">
        <v>20</v>
      </c>
      <c r="D21" s="196" t="s">
        <v>237</v>
      </c>
      <c r="E21" s="195">
        <f t="shared" si="3"/>
        <v>1000</v>
      </c>
      <c r="F21" s="195">
        <v>1.5</v>
      </c>
      <c r="G21" s="195">
        <v>1</v>
      </c>
      <c r="H21" s="217">
        <f t="shared" si="0"/>
        <v>1500</v>
      </c>
      <c r="I21" s="194" t="s">
        <v>127</v>
      </c>
      <c r="J21" s="194">
        <f t="shared" si="2"/>
        <v>2.91</v>
      </c>
      <c r="K21" s="273"/>
    </row>
    <row r="22" spans="1:11">
      <c r="A22" s="274"/>
      <c r="B22" s="194">
        <v>1500</v>
      </c>
      <c r="C22" s="229" t="s">
        <v>20</v>
      </c>
      <c r="D22" s="196" t="s">
        <v>237</v>
      </c>
      <c r="E22" s="195">
        <f t="shared" si="3"/>
        <v>1000</v>
      </c>
      <c r="F22" s="195">
        <v>1.5</v>
      </c>
      <c r="G22" s="195">
        <v>1</v>
      </c>
      <c r="H22" s="217">
        <f t="shared" si="0"/>
        <v>1500</v>
      </c>
      <c r="I22" s="194" t="s">
        <v>127</v>
      </c>
      <c r="J22" s="194">
        <f t="shared" si="2"/>
        <v>2.91</v>
      </c>
      <c r="K22" s="273"/>
    </row>
    <row r="23" spans="1:11">
      <c r="A23" s="274"/>
      <c r="B23" s="194">
        <v>1500</v>
      </c>
      <c r="C23" s="229" t="s">
        <v>20</v>
      </c>
      <c r="D23" s="196" t="s">
        <v>237</v>
      </c>
      <c r="E23" s="195">
        <f t="shared" si="3"/>
        <v>1000</v>
      </c>
      <c r="F23" s="195">
        <v>1.5</v>
      </c>
      <c r="G23" s="195">
        <v>1</v>
      </c>
      <c r="H23" s="217">
        <f t="shared" si="0"/>
        <v>1500</v>
      </c>
      <c r="I23" s="194" t="s">
        <v>127</v>
      </c>
      <c r="J23" s="194">
        <f t="shared" si="2"/>
        <v>2.91</v>
      </c>
      <c r="K23" s="273"/>
    </row>
    <row r="24" spans="1:11">
      <c r="A24" s="274"/>
      <c r="B24" s="194">
        <v>1500</v>
      </c>
      <c r="C24" s="229" t="s">
        <v>20</v>
      </c>
      <c r="D24" s="196" t="s">
        <v>237</v>
      </c>
      <c r="E24" s="195">
        <f t="shared" si="3"/>
        <v>1000</v>
      </c>
      <c r="F24" s="195">
        <v>1.5</v>
      </c>
      <c r="G24" s="195">
        <v>1</v>
      </c>
      <c r="H24" s="217">
        <f t="shared" si="0"/>
        <v>1500</v>
      </c>
      <c r="I24" s="194" t="s">
        <v>127</v>
      </c>
      <c r="J24" s="194">
        <f t="shared" si="2"/>
        <v>2.91</v>
      </c>
      <c r="K24" s="273"/>
    </row>
    <row r="25" spans="1:11">
      <c r="A25" s="274"/>
      <c r="B25" s="194">
        <v>1500</v>
      </c>
      <c r="C25" s="229" t="s">
        <v>20</v>
      </c>
      <c r="D25" s="196" t="s">
        <v>237</v>
      </c>
      <c r="E25" s="195">
        <f t="shared" si="3"/>
        <v>1000</v>
      </c>
      <c r="F25" s="195">
        <v>1.5</v>
      </c>
      <c r="G25" s="195">
        <v>1</v>
      </c>
      <c r="H25" s="217">
        <f t="shared" si="0"/>
        <v>1500</v>
      </c>
      <c r="I25" s="194" t="s">
        <v>127</v>
      </c>
      <c r="J25" s="194">
        <f t="shared" si="2"/>
        <v>2.91</v>
      </c>
      <c r="K25" s="273"/>
    </row>
    <row r="26" spans="1:11">
      <c r="A26" s="274"/>
      <c r="B26" s="194">
        <v>1500</v>
      </c>
      <c r="C26" s="229" t="s">
        <v>20</v>
      </c>
      <c r="D26" s="196" t="s">
        <v>237</v>
      </c>
      <c r="E26" s="195">
        <f t="shared" si="3"/>
        <v>1000</v>
      </c>
      <c r="F26" s="195">
        <v>1.5</v>
      </c>
      <c r="G26" s="195">
        <v>1</v>
      </c>
      <c r="H26" s="217">
        <f t="shared" si="0"/>
        <v>1500</v>
      </c>
      <c r="I26" s="194" t="s">
        <v>127</v>
      </c>
      <c r="J26" s="194">
        <f t="shared" si="2"/>
        <v>2.91</v>
      </c>
      <c r="K26" s="273"/>
    </row>
    <row r="27" spans="1:11" s="1" customFormat="1">
      <c r="A27" s="274"/>
      <c r="B27" s="187"/>
      <c r="C27" s="188"/>
      <c r="D27" s="189"/>
      <c r="E27" s="187"/>
      <c r="F27" s="187"/>
      <c r="G27" s="187"/>
      <c r="H27" s="187"/>
      <c r="I27" s="187"/>
      <c r="J27" s="187"/>
      <c r="K27" s="210"/>
    </row>
    <row r="28" spans="1:11">
      <c r="A28" s="274"/>
      <c r="B28" s="194">
        <v>1500</v>
      </c>
      <c r="C28" s="229" t="s">
        <v>20</v>
      </c>
      <c r="D28" s="196" t="s">
        <v>237</v>
      </c>
      <c r="E28" s="195">
        <f t="shared" ref="E28:E33" si="4">1/(F28*G28)*B28</f>
        <v>1000</v>
      </c>
      <c r="F28" s="195">
        <v>1.5</v>
      </c>
      <c r="G28" s="195">
        <v>1</v>
      </c>
      <c r="H28" s="217">
        <f t="shared" si="0"/>
        <v>1500</v>
      </c>
      <c r="I28" s="194" t="s">
        <v>127</v>
      </c>
      <c r="J28" s="194">
        <f>B28*194/100000</f>
        <v>2.91</v>
      </c>
      <c r="K28" s="275" t="s">
        <v>414</v>
      </c>
    </row>
    <row r="29" spans="1:11">
      <c r="A29" s="274"/>
      <c r="B29" s="194">
        <v>1500</v>
      </c>
      <c r="C29" s="229" t="s">
        <v>20</v>
      </c>
      <c r="D29" s="196" t="s">
        <v>237</v>
      </c>
      <c r="E29" s="195">
        <f t="shared" si="4"/>
        <v>1000</v>
      </c>
      <c r="F29" s="195">
        <v>1.5</v>
      </c>
      <c r="G29" s="195">
        <v>1</v>
      </c>
      <c r="H29" s="217">
        <f t="shared" si="0"/>
        <v>1500</v>
      </c>
      <c r="I29" s="194" t="s">
        <v>127</v>
      </c>
      <c r="J29" s="194">
        <f t="shared" ref="J29:J39" si="5">B29*194/100000</f>
        <v>2.91</v>
      </c>
      <c r="K29" s="276"/>
    </row>
    <row r="30" spans="1:11">
      <c r="A30" s="274"/>
      <c r="B30" s="194">
        <v>1500</v>
      </c>
      <c r="C30" s="229" t="s">
        <v>20</v>
      </c>
      <c r="D30" s="196" t="s">
        <v>237</v>
      </c>
      <c r="E30" s="195">
        <f t="shared" si="4"/>
        <v>1000</v>
      </c>
      <c r="F30" s="195">
        <v>1.5</v>
      </c>
      <c r="G30" s="195">
        <v>1</v>
      </c>
      <c r="H30" s="217">
        <f t="shared" si="0"/>
        <v>1500</v>
      </c>
      <c r="I30" s="194" t="s">
        <v>127</v>
      </c>
      <c r="J30" s="194">
        <f t="shared" si="5"/>
        <v>2.91</v>
      </c>
      <c r="K30" s="276"/>
    </row>
    <row r="31" spans="1:11">
      <c r="A31" s="274"/>
      <c r="B31" s="194">
        <v>1500</v>
      </c>
      <c r="C31" s="229" t="s">
        <v>20</v>
      </c>
      <c r="D31" s="196" t="s">
        <v>237</v>
      </c>
      <c r="E31" s="195">
        <f t="shared" si="4"/>
        <v>1000</v>
      </c>
      <c r="F31" s="195">
        <v>1.5</v>
      </c>
      <c r="G31" s="195">
        <v>1</v>
      </c>
      <c r="H31" s="217">
        <f t="shared" si="0"/>
        <v>1500</v>
      </c>
      <c r="I31" s="194" t="s">
        <v>127</v>
      </c>
      <c r="J31" s="194">
        <f t="shared" si="5"/>
        <v>2.91</v>
      </c>
      <c r="K31" s="276"/>
    </row>
    <row r="32" spans="1:11">
      <c r="A32" s="274"/>
      <c r="B32" s="194">
        <v>1500</v>
      </c>
      <c r="C32" s="229" t="s">
        <v>20</v>
      </c>
      <c r="D32" s="196" t="s">
        <v>237</v>
      </c>
      <c r="E32" s="195">
        <f t="shared" si="4"/>
        <v>1000</v>
      </c>
      <c r="F32" s="195">
        <v>1.5</v>
      </c>
      <c r="G32" s="195">
        <v>1</v>
      </c>
      <c r="H32" s="217">
        <f t="shared" si="0"/>
        <v>1500</v>
      </c>
      <c r="I32" s="194" t="s">
        <v>127</v>
      </c>
      <c r="J32" s="194">
        <f t="shared" si="5"/>
        <v>2.91</v>
      </c>
      <c r="K32" s="276"/>
    </row>
    <row r="33" spans="1:11">
      <c r="A33" s="274"/>
      <c r="B33" s="194">
        <v>1500</v>
      </c>
      <c r="C33" s="229" t="s">
        <v>20</v>
      </c>
      <c r="D33" s="196" t="s">
        <v>237</v>
      </c>
      <c r="E33" s="195">
        <f t="shared" si="4"/>
        <v>1000</v>
      </c>
      <c r="F33" s="195">
        <v>1.5</v>
      </c>
      <c r="G33" s="195">
        <v>1</v>
      </c>
      <c r="H33" s="217">
        <f t="shared" si="0"/>
        <v>1500</v>
      </c>
      <c r="I33" s="194" t="s">
        <v>127</v>
      </c>
      <c r="J33" s="194">
        <f t="shared" si="5"/>
        <v>2.91</v>
      </c>
      <c r="K33" s="276"/>
    </row>
    <row r="34" spans="1:11" s="1" customFormat="1">
      <c r="A34" s="274"/>
      <c r="B34" s="194">
        <v>1500</v>
      </c>
      <c r="C34" s="229" t="s">
        <v>20</v>
      </c>
      <c r="D34" s="196" t="s">
        <v>237</v>
      </c>
      <c r="E34" s="195">
        <f t="shared" ref="E34:E37" si="6">1/(F34*G34)*B34</f>
        <v>1000</v>
      </c>
      <c r="F34" s="195">
        <v>1.5</v>
      </c>
      <c r="G34" s="195">
        <v>1</v>
      </c>
      <c r="H34" s="217">
        <f t="shared" si="0"/>
        <v>1500</v>
      </c>
      <c r="I34" s="194" t="s">
        <v>127</v>
      </c>
      <c r="J34" s="194">
        <f t="shared" si="5"/>
        <v>2.91</v>
      </c>
      <c r="K34" s="276"/>
    </row>
    <row r="35" spans="1:11" s="1" customFormat="1">
      <c r="A35" s="274"/>
      <c r="B35" s="194">
        <v>1500</v>
      </c>
      <c r="C35" s="229" t="s">
        <v>20</v>
      </c>
      <c r="D35" s="196" t="s">
        <v>237</v>
      </c>
      <c r="E35" s="195">
        <f t="shared" si="6"/>
        <v>1000</v>
      </c>
      <c r="F35" s="195">
        <v>1.5</v>
      </c>
      <c r="G35" s="195">
        <v>1</v>
      </c>
      <c r="H35" s="217">
        <f t="shared" si="0"/>
        <v>1500</v>
      </c>
      <c r="I35" s="194" t="s">
        <v>127</v>
      </c>
      <c r="J35" s="194">
        <f t="shared" si="5"/>
        <v>2.91</v>
      </c>
      <c r="K35" s="276"/>
    </row>
    <row r="36" spans="1:11" s="1" customFormat="1">
      <c r="A36" s="274"/>
      <c r="B36" s="194">
        <v>1500</v>
      </c>
      <c r="C36" s="229" t="s">
        <v>20</v>
      </c>
      <c r="D36" s="196" t="s">
        <v>237</v>
      </c>
      <c r="E36" s="195">
        <f t="shared" si="6"/>
        <v>1000</v>
      </c>
      <c r="F36" s="195">
        <v>1.5</v>
      </c>
      <c r="G36" s="195">
        <v>1</v>
      </c>
      <c r="H36" s="217">
        <f t="shared" si="0"/>
        <v>1500</v>
      </c>
      <c r="I36" s="194" t="s">
        <v>127</v>
      </c>
      <c r="J36" s="194">
        <f t="shared" si="5"/>
        <v>2.91</v>
      </c>
      <c r="K36" s="276"/>
    </row>
    <row r="37" spans="1:11" s="1" customFormat="1">
      <c r="A37" s="274"/>
      <c r="B37" s="194">
        <v>1500</v>
      </c>
      <c r="C37" s="229" t="s">
        <v>20</v>
      </c>
      <c r="D37" s="196" t="s">
        <v>237</v>
      </c>
      <c r="E37" s="195">
        <f t="shared" si="6"/>
        <v>1000</v>
      </c>
      <c r="F37" s="195">
        <v>1.5</v>
      </c>
      <c r="G37" s="195">
        <v>1</v>
      </c>
      <c r="H37" s="217">
        <f t="shared" si="0"/>
        <v>1500</v>
      </c>
      <c r="I37" s="194" t="s">
        <v>127</v>
      </c>
      <c r="J37" s="194">
        <f t="shared" si="5"/>
        <v>2.91</v>
      </c>
      <c r="K37" s="276"/>
    </row>
    <row r="38" spans="1:11" s="1" customFormat="1">
      <c r="A38" s="274"/>
      <c r="B38" s="194">
        <v>1500</v>
      </c>
      <c r="C38" s="229" t="s">
        <v>20</v>
      </c>
      <c r="D38" s="196" t="s">
        <v>237</v>
      </c>
      <c r="E38" s="195">
        <f t="shared" ref="E38:E39" si="7">1/(F38*G38)*B38</f>
        <v>1000</v>
      </c>
      <c r="F38" s="195">
        <v>1.5</v>
      </c>
      <c r="G38" s="195">
        <v>1</v>
      </c>
      <c r="H38" s="217">
        <f t="shared" si="0"/>
        <v>1500</v>
      </c>
      <c r="I38" s="194" t="s">
        <v>127</v>
      </c>
      <c r="J38" s="194">
        <f t="shared" si="5"/>
        <v>2.91</v>
      </c>
      <c r="K38" s="276"/>
    </row>
    <row r="39" spans="1:11" s="1" customFormat="1">
      <c r="A39" s="277"/>
      <c r="B39" s="194">
        <v>1500</v>
      </c>
      <c r="C39" s="229" t="s">
        <v>20</v>
      </c>
      <c r="D39" s="196" t="s">
        <v>237</v>
      </c>
      <c r="E39" s="195">
        <f t="shared" si="7"/>
        <v>1000</v>
      </c>
      <c r="F39" s="195">
        <v>1.5</v>
      </c>
      <c r="G39" s="195">
        <v>1</v>
      </c>
      <c r="H39" s="217">
        <f t="shared" si="0"/>
        <v>1500</v>
      </c>
      <c r="I39" s="194" t="s">
        <v>127</v>
      </c>
      <c r="J39" s="194">
        <f t="shared" si="5"/>
        <v>2.91</v>
      </c>
      <c r="K39" s="278"/>
    </row>
    <row r="40" spans="1:11" s="1" customFormat="1">
      <c r="A40" s="279"/>
      <c r="B40" s="190"/>
      <c r="C40" s="191"/>
      <c r="D40" s="199"/>
      <c r="E40" s="190"/>
      <c r="F40" s="190"/>
      <c r="G40" s="190"/>
      <c r="H40" s="190"/>
      <c r="I40" s="190"/>
      <c r="J40" s="190"/>
      <c r="K40" s="210"/>
    </row>
    <row r="41" spans="1:11">
      <c r="A41" s="201" t="s">
        <v>21</v>
      </c>
      <c r="B41" s="236"/>
      <c r="C41" s="201"/>
      <c r="D41" s="201"/>
      <c r="E41" s="201"/>
      <c r="F41" s="201"/>
      <c r="G41" s="201"/>
      <c r="H41" s="201"/>
      <c r="I41" s="201"/>
      <c r="J41" s="201"/>
      <c r="K41" s="210"/>
    </row>
    <row r="42" spans="1:11">
      <c r="A42" s="236"/>
      <c r="B42" s="236"/>
      <c r="C42" s="236"/>
      <c r="D42" s="236"/>
      <c r="E42" s="236"/>
      <c r="F42" s="236"/>
      <c r="G42" s="236"/>
      <c r="H42" s="236"/>
      <c r="I42" s="236"/>
      <c r="J42" s="236"/>
      <c r="K42" s="210"/>
    </row>
    <row r="43" spans="1:11" ht="45">
      <c r="A43" s="96" t="s">
        <v>22</v>
      </c>
      <c r="B43" s="194">
        <v>1500</v>
      </c>
      <c r="C43" s="239" t="s">
        <v>23</v>
      </c>
      <c r="D43" s="196" t="s">
        <v>237</v>
      </c>
      <c r="E43" s="195">
        <f>1/(F43*G43)*B43</f>
        <v>75</v>
      </c>
      <c r="F43" s="195">
        <v>20</v>
      </c>
      <c r="G43" s="195">
        <v>1</v>
      </c>
      <c r="H43" s="195">
        <f>G43*F43*E43</f>
        <v>1500</v>
      </c>
      <c r="I43" s="194" t="s">
        <v>127</v>
      </c>
      <c r="J43" s="194">
        <f>B43*194/100000</f>
        <v>2.91</v>
      </c>
      <c r="K43" s="241" t="s">
        <v>415</v>
      </c>
    </row>
    <row r="44" spans="1:11">
      <c r="A44" s="115" t="s">
        <v>28</v>
      </c>
      <c r="B44" s="194">
        <v>5</v>
      </c>
      <c r="C44" s="196" t="s">
        <v>66</v>
      </c>
      <c r="D44" s="37" t="s">
        <v>569</v>
      </c>
      <c r="E44" s="195">
        <v>3.05</v>
      </c>
      <c r="F44" s="195">
        <v>2</v>
      </c>
      <c r="G44" s="195">
        <v>2.2000000000000002</v>
      </c>
      <c r="H44" s="195">
        <f t="shared" ref="H44:H78" si="8">G44*F44*E44</f>
        <v>13.42</v>
      </c>
      <c r="I44" s="194" t="s">
        <v>577</v>
      </c>
      <c r="J44" s="194">
        <f>91940/100000</f>
        <v>0.9194</v>
      </c>
      <c r="K44" s="226" t="s">
        <v>416</v>
      </c>
    </row>
    <row r="45" spans="1:11">
      <c r="A45" s="115"/>
      <c r="B45" s="194">
        <v>20</v>
      </c>
      <c r="C45" s="35" t="s">
        <v>67</v>
      </c>
      <c r="D45" s="37" t="s">
        <v>570</v>
      </c>
      <c r="E45" s="195">
        <v>3.05</v>
      </c>
      <c r="F45" s="195">
        <v>2</v>
      </c>
      <c r="G45" s="195">
        <v>2.2000000000000002</v>
      </c>
      <c r="H45" s="195">
        <f t="shared" si="8"/>
        <v>13.42</v>
      </c>
      <c r="I45" s="194" t="s">
        <v>577</v>
      </c>
      <c r="J45" s="194">
        <f>543880/100000</f>
        <v>5.4387999999999996</v>
      </c>
      <c r="K45" s="226" t="s">
        <v>417</v>
      </c>
    </row>
    <row r="46" spans="1:11" ht="18.75" customHeight="1">
      <c r="A46" s="123" t="s">
        <v>29</v>
      </c>
      <c r="B46" s="194">
        <v>780</v>
      </c>
      <c r="C46" s="209" t="s">
        <v>30</v>
      </c>
      <c r="D46" s="196" t="s">
        <v>237</v>
      </c>
      <c r="E46" s="195">
        <f t="shared" ref="E46:E52" si="9">1/(F46*G46)*B46</f>
        <v>52</v>
      </c>
      <c r="F46" s="195">
        <v>5</v>
      </c>
      <c r="G46" s="195">
        <v>3</v>
      </c>
      <c r="H46" s="195">
        <f t="shared" si="8"/>
        <v>780</v>
      </c>
      <c r="I46" s="194" t="s">
        <v>127</v>
      </c>
      <c r="J46" s="194">
        <f>B46*194/100000</f>
        <v>1.5132000000000001</v>
      </c>
      <c r="K46" s="242" t="s">
        <v>418</v>
      </c>
    </row>
    <row r="47" spans="1:11">
      <c r="A47" s="124"/>
      <c r="B47" s="194">
        <v>780</v>
      </c>
      <c r="C47" s="239" t="s">
        <v>30</v>
      </c>
      <c r="D47" s="196" t="s">
        <v>237</v>
      </c>
      <c r="E47" s="195">
        <f t="shared" si="9"/>
        <v>95.823095823095812</v>
      </c>
      <c r="F47" s="195">
        <v>3.7</v>
      </c>
      <c r="G47" s="195">
        <v>2.2000000000000002</v>
      </c>
      <c r="H47" s="195">
        <f t="shared" si="8"/>
        <v>780</v>
      </c>
      <c r="I47" s="194" t="s">
        <v>127</v>
      </c>
      <c r="J47" s="194">
        <f t="shared" ref="J47:J56" si="10">B47*194/100000</f>
        <v>1.5132000000000001</v>
      </c>
      <c r="K47" s="243"/>
    </row>
    <row r="48" spans="1:11">
      <c r="A48" s="124"/>
      <c r="B48" s="194">
        <v>780</v>
      </c>
      <c r="C48" s="239" t="s">
        <v>30</v>
      </c>
      <c r="D48" s="196" t="s">
        <v>237</v>
      </c>
      <c r="E48" s="195">
        <f t="shared" si="9"/>
        <v>95.823095823095812</v>
      </c>
      <c r="F48" s="195">
        <v>3.7</v>
      </c>
      <c r="G48" s="195">
        <v>2.2000000000000002</v>
      </c>
      <c r="H48" s="195">
        <f t="shared" si="8"/>
        <v>780</v>
      </c>
      <c r="I48" s="194" t="s">
        <v>127</v>
      </c>
      <c r="J48" s="194">
        <f t="shared" si="10"/>
        <v>1.5132000000000001</v>
      </c>
      <c r="K48" s="243"/>
    </row>
    <row r="49" spans="1:11">
      <c r="A49" s="124"/>
      <c r="B49" s="194">
        <v>780</v>
      </c>
      <c r="C49" s="239" t="s">
        <v>30</v>
      </c>
      <c r="D49" s="196" t="s">
        <v>237</v>
      </c>
      <c r="E49" s="195">
        <f t="shared" si="9"/>
        <v>95.823095823095812</v>
      </c>
      <c r="F49" s="195">
        <v>3.7</v>
      </c>
      <c r="G49" s="195">
        <v>2.2000000000000002</v>
      </c>
      <c r="H49" s="195">
        <f t="shared" si="8"/>
        <v>780</v>
      </c>
      <c r="I49" s="194" t="s">
        <v>127</v>
      </c>
      <c r="J49" s="194">
        <f t="shared" si="10"/>
        <v>1.5132000000000001</v>
      </c>
      <c r="K49" s="243"/>
    </row>
    <row r="50" spans="1:11">
      <c r="A50" s="124"/>
      <c r="B50" s="194">
        <v>780</v>
      </c>
      <c r="C50" s="239" t="s">
        <v>30</v>
      </c>
      <c r="D50" s="196" t="s">
        <v>237</v>
      </c>
      <c r="E50" s="195">
        <f t="shared" si="9"/>
        <v>95.823095823095812</v>
      </c>
      <c r="F50" s="195">
        <v>3.7</v>
      </c>
      <c r="G50" s="195">
        <v>2.2000000000000002</v>
      </c>
      <c r="H50" s="195">
        <f t="shared" si="8"/>
        <v>780</v>
      </c>
      <c r="I50" s="194" t="s">
        <v>127</v>
      </c>
      <c r="J50" s="194">
        <f t="shared" si="10"/>
        <v>1.5132000000000001</v>
      </c>
      <c r="K50" s="243"/>
    </row>
    <row r="51" spans="1:11">
      <c r="A51" s="124"/>
      <c r="B51" s="194">
        <v>780</v>
      </c>
      <c r="C51" s="239" t="s">
        <v>30</v>
      </c>
      <c r="D51" s="196" t="s">
        <v>237</v>
      </c>
      <c r="E51" s="195">
        <f t="shared" si="9"/>
        <v>95.823095823095812</v>
      </c>
      <c r="F51" s="195">
        <v>3.7</v>
      </c>
      <c r="G51" s="195">
        <v>2.2000000000000002</v>
      </c>
      <c r="H51" s="195">
        <f t="shared" si="8"/>
        <v>780</v>
      </c>
      <c r="I51" s="194" t="s">
        <v>127</v>
      </c>
      <c r="J51" s="194">
        <f t="shared" si="10"/>
        <v>1.5132000000000001</v>
      </c>
      <c r="K51" s="243"/>
    </row>
    <row r="52" spans="1:11">
      <c r="A52" s="124"/>
      <c r="B52" s="194">
        <v>780</v>
      </c>
      <c r="C52" s="239" t="s">
        <v>30</v>
      </c>
      <c r="D52" s="196" t="s">
        <v>237</v>
      </c>
      <c r="E52" s="195">
        <f t="shared" si="9"/>
        <v>95.823095823095812</v>
      </c>
      <c r="F52" s="195">
        <v>3.7</v>
      </c>
      <c r="G52" s="195">
        <v>2.2000000000000002</v>
      </c>
      <c r="H52" s="195">
        <f t="shared" si="8"/>
        <v>780</v>
      </c>
      <c r="I52" s="194" t="s">
        <v>127</v>
      </c>
      <c r="J52" s="194">
        <f t="shared" si="10"/>
        <v>1.5132000000000001</v>
      </c>
      <c r="K52" s="243"/>
    </row>
    <row r="53" spans="1:11" s="1" customFormat="1">
      <c r="A53" s="124"/>
      <c r="B53" s="194">
        <v>780</v>
      </c>
      <c r="C53" s="239" t="s">
        <v>30</v>
      </c>
      <c r="D53" s="196" t="s">
        <v>237</v>
      </c>
      <c r="E53" s="195">
        <f t="shared" ref="E53:E60" si="11">1/(F53*G53)*B53</f>
        <v>95.823095823095812</v>
      </c>
      <c r="F53" s="195">
        <v>3.7</v>
      </c>
      <c r="G53" s="195">
        <v>2.2000000000000002</v>
      </c>
      <c r="H53" s="195">
        <f t="shared" si="8"/>
        <v>780</v>
      </c>
      <c r="I53" s="194" t="s">
        <v>127</v>
      </c>
      <c r="J53" s="194">
        <f t="shared" si="10"/>
        <v>1.5132000000000001</v>
      </c>
      <c r="K53" s="243"/>
    </row>
    <row r="54" spans="1:11" s="1" customFormat="1">
      <c r="A54" s="124"/>
      <c r="B54" s="194">
        <v>780</v>
      </c>
      <c r="C54" s="239" t="s">
        <v>30</v>
      </c>
      <c r="D54" s="196" t="s">
        <v>237</v>
      </c>
      <c r="E54" s="195">
        <f t="shared" si="11"/>
        <v>95.823095823095812</v>
      </c>
      <c r="F54" s="195">
        <v>3.7</v>
      </c>
      <c r="G54" s="195">
        <v>2.2000000000000002</v>
      </c>
      <c r="H54" s="195">
        <f t="shared" si="8"/>
        <v>780</v>
      </c>
      <c r="I54" s="194" t="s">
        <v>127</v>
      </c>
      <c r="J54" s="194">
        <f t="shared" si="10"/>
        <v>1.5132000000000001</v>
      </c>
      <c r="K54" s="243"/>
    </row>
    <row r="55" spans="1:11" s="1" customFormat="1">
      <c r="A55" s="124"/>
      <c r="B55" s="194">
        <v>780</v>
      </c>
      <c r="C55" s="239" t="s">
        <v>30</v>
      </c>
      <c r="D55" s="196" t="s">
        <v>237</v>
      </c>
      <c r="E55" s="195">
        <f t="shared" si="11"/>
        <v>95.823095823095812</v>
      </c>
      <c r="F55" s="195">
        <v>3.7</v>
      </c>
      <c r="G55" s="195">
        <v>2.2000000000000002</v>
      </c>
      <c r="H55" s="195">
        <f t="shared" si="8"/>
        <v>780</v>
      </c>
      <c r="I55" s="194" t="s">
        <v>127</v>
      </c>
      <c r="J55" s="194">
        <f t="shared" si="10"/>
        <v>1.5132000000000001</v>
      </c>
      <c r="K55" s="243"/>
    </row>
    <row r="56" spans="1:11" s="1" customFormat="1">
      <c r="A56" s="124"/>
      <c r="B56" s="194">
        <v>780</v>
      </c>
      <c r="C56" s="239" t="s">
        <v>30</v>
      </c>
      <c r="D56" s="196" t="s">
        <v>237</v>
      </c>
      <c r="E56" s="195">
        <f t="shared" si="11"/>
        <v>95.823095823095812</v>
      </c>
      <c r="F56" s="195">
        <v>3.7</v>
      </c>
      <c r="G56" s="195">
        <v>2.2000000000000002</v>
      </c>
      <c r="H56" s="195">
        <f t="shared" si="8"/>
        <v>780</v>
      </c>
      <c r="I56" s="194" t="s">
        <v>127</v>
      </c>
      <c r="J56" s="194">
        <f t="shared" si="10"/>
        <v>1.5132000000000001</v>
      </c>
      <c r="K56" s="244"/>
    </row>
    <row r="57" spans="1:11" s="1" customFormat="1">
      <c r="A57" s="124"/>
      <c r="B57" s="187"/>
      <c r="C57" s="197"/>
      <c r="D57" s="189"/>
      <c r="E57" s="187"/>
      <c r="F57" s="187"/>
      <c r="G57" s="187"/>
      <c r="H57" s="187"/>
      <c r="I57" s="187"/>
      <c r="J57" s="187"/>
      <c r="K57" s="210"/>
    </row>
    <row r="58" spans="1:11" s="1" customFormat="1">
      <c r="A58" s="124"/>
      <c r="B58" s="194">
        <v>780</v>
      </c>
      <c r="C58" s="239" t="s">
        <v>30</v>
      </c>
      <c r="D58" s="196" t="s">
        <v>237</v>
      </c>
      <c r="E58" s="195">
        <f t="shared" si="11"/>
        <v>95.823095823095812</v>
      </c>
      <c r="F58" s="195">
        <v>3.7</v>
      </c>
      <c r="G58" s="195">
        <v>2.2000000000000002</v>
      </c>
      <c r="H58" s="195">
        <f t="shared" si="8"/>
        <v>780</v>
      </c>
      <c r="I58" s="194" t="s">
        <v>127</v>
      </c>
      <c r="J58" s="194">
        <f>B58*194/100000</f>
        <v>1.5132000000000001</v>
      </c>
      <c r="K58" s="230" t="s">
        <v>419</v>
      </c>
    </row>
    <row r="59" spans="1:11" s="1" customFormat="1">
      <c r="A59" s="124"/>
      <c r="B59" s="194">
        <v>780</v>
      </c>
      <c r="C59" s="239" t="s">
        <v>30</v>
      </c>
      <c r="D59" s="196" t="s">
        <v>237</v>
      </c>
      <c r="E59" s="195">
        <f t="shared" si="11"/>
        <v>95.823095823095812</v>
      </c>
      <c r="F59" s="195">
        <v>3.7</v>
      </c>
      <c r="G59" s="195">
        <v>2.2000000000000002</v>
      </c>
      <c r="H59" s="195">
        <f t="shared" si="8"/>
        <v>780</v>
      </c>
      <c r="I59" s="194" t="s">
        <v>127</v>
      </c>
      <c r="J59" s="194">
        <f t="shared" ref="J59:J69" si="12">B59*194/100000</f>
        <v>1.5132000000000001</v>
      </c>
      <c r="K59" s="230"/>
    </row>
    <row r="60" spans="1:11">
      <c r="A60" s="124"/>
      <c r="B60" s="194">
        <v>780</v>
      </c>
      <c r="C60" s="239" t="s">
        <v>30</v>
      </c>
      <c r="D60" s="196" t="s">
        <v>237</v>
      </c>
      <c r="E60" s="195">
        <f t="shared" si="11"/>
        <v>95.823095823095812</v>
      </c>
      <c r="F60" s="195">
        <v>3.7</v>
      </c>
      <c r="G60" s="195">
        <v>2.2000000000000002</v>
      </c>
      <c r="H60" s="195">
        <f t="shared" si="8"/>
        <v>780</v>
      </c>
      <c r="I60" s="194" t="s">
        <v>127</v>
      </c>
      <c r="J60" s="194">
        <f t="shared" si="12"/>
        <v>1.5132000000000001</v>
      </c>
      <c r="K60" s="230"/>
    </row>
    <row r="61" spans="1:11" s="1" customFormat="1">
      <c r="A61" s="124"/>
      <c r="B61" s="194">
        <v>780</v>
      </c>
      <c r="C61" s="239" t="s">
        <v>30</v>
      </c>
      <c r="D61" s="196" t="s">
        <v>237</v>
      </c>
      <c r="E61" s="195">
        <f t="shared" ref="E61:E64" si="13">1/(F61*G61)*B61</f>
        <v>95.823095823095812</v>
      </c>
      <c r="F61" s="195">
        <v>3.7</v>
      </c>
      <c r="G61" s="195">
        <v>2.2000000000000002</v>
      </c>
      <c r="H61" s="195">
        <f t="shared" si="8"/>
        <v>780</v>
      </c>
      <c r="I61" s="194" t="s">
        <v>127</v>
      </c>
      <c r="J61" s="194">
        <f t="shared" si="12"/>
        <v>1.5132000000000001</v>
      </c>
      <c r="K61" s="230"/>
    </row>
    <row r="62" spans="1:11" s="1" customFormat="1">
      <c r="A62" s="125"/>
      <c r="B62" s="194">
        <v>780</v>
      </c>
      <c r="C62" s="239" t="s">
        <v>30</v>
      </c>
      <c r="D62" s="196" t="s">
        <v>237</v>
      </c>
      <c r="E62" s="195">
        <f t="shared" si="13"/>
        <v>95.823095823095812</v>
      </c>
      <c r="F62" s="195">
        <v>3.7</v>
      </c>
      <c r="G62" s="195">
        <v>2.2000000000000002</v>
      </c>
      <c r="H62" s="195">
        <f t="shared" si="8"/>
        <v>780</v>
      </c>
      <c r="I62" s="194" t="s">
        <v>127</v>
      </c>
      <c r="J62" s="194">
        <f t="shared" si="12"/>
        <v>1.5132000000000001</v>
      </c>
      <c r="K62" s="230"/>
    </row>
    <row r="63" spans="1:11" s="1" customFormat="1">
      <c r="A63" s="168" t="s">
        <v>29</v>
      </c>
      <c r="B63" s="194">
        <v>780</v>
      </c>
      <c r="C63" s="239" t="s">
        <v>30</v>
      </c>
      <c r="D63" s="196" t="s">
        <v>237</v>
      </c>
      <c r="E63" s="195">
        <f t="shared" si="13"/>
        <v>95.823095823095812</v>
      </c>
      <c r="F63" s="195">
        <v>3.7</v>
      </c>
      <c r="G63" s="195">
        <v>2.2000000000000002</v>
      </c>
      <c r="H63" s="195">
        <f t="shared" si="8"/>
        <v>780</v>
      </c>
      <c r="I63" s="194" t="s">
        <v>127</v>
      </c>
      <c r="J63" s="194">
        <f t="shared" si="12"/>
        <v>1.5132000000000001</v>
      </c>
      <c r="K63" s="230"/>
    </row>
    <row r="64" spans="1:11" s="1" customFormat="1">
      <c r="A64" s="169"/>
      <c r="B64" s="194">
        <v>780</v>
      </c>
      <c r="C64" s="239" t="s">
        <v>30</v>
      </c>
      <c r="D64" s="196" t="s">
        <v>237</v>
      </c>
      <c r="E64" s="195">
        <f t="shared" si="13"/>
        <v>95.823095823095812</v>
      </c>
      <c r="F64" s="195">
        <v>3.7</v>
      </c>
      <c r="G64" s="195">
        <v>2.2000000000000002</v>
      </c>
      <c r="H64" s="195">
        <f t="shared" si="8"/>
        <v>780</v>
      </c>
      <c r="I64" s="194" t="s">
        <v>127</v>
      </c>
      <c r="J64" s="194">
        <f t="shared" si="12"/>
        <v>1.5132000000000001</v>
      </c>
      <c r="K64" s="230"/>
    </row>
    <row r="65" spans="1:11" s="1" customFormat="1">
      <c r="A65" s="169"/>
      <c r="B65" s="194">
        <v>780</v>
      </c>
      <c r="C65" s="239" t="s">
        <v>30</v>
      </c>
      <c r="D65" s="196" t="s">
        <v>237</v>
      </c>
      <c r="E65" s="195">
        <f t="shared" ref="E65:E69" si="14">1/(F65*G65)*B65</f>
        <v>95.823095823095812</v>
      </c>
      <c r="F65" s="195">
        <v>3.7</v>
      </c>
      <c r="G65" s="195">
        <v>2.2000000000000002</v>
      </c>
      <c r="H65" s="195">
        <f t="shared" si="8"/>
        <v>780</v>
      </c>
      <c r="I65" s="194" t="s">
        <v>127</v>
      </c>
      <c r="J65" s="194">
        <f t="shared" si="12"/>
        <v>1.5132000000000001</v>
      </c>
      <c r="K65" s="230"/>
    </row>
    <row r="66" spans="1:11" s="1" customFormat="1">
      <c r="A66" s="169"/>
      <c r="B66" s="194">
        <v>780</v>
      </c>
      <c r="C66" s="239" t="s">
        <v>30</v>
      </c>
      <c r="D66" s="196" t="s">
        <v>237</v>
      </c>
      <c r="E66" s="195">
        <f t="shared" si="14"/>
        <v>95.823095823095812</v>
      </c>
      <c r="F66" s="195">
        <v>3.7</v>
      </c>
      <c r="G66" s="195">
        <v>2.2000000000000002</v>
      </c>
      <c r="H66" s="195">
        <f t="shared" si="8"/>
        <v>780</v>
      </c>
      <c r="I66" s="194" t="s">
        <v>127</v>
      </c>
      <c r="J66" s="194">
        <f t="shared" si="12"/>
        <v>1.5132000000000001</v>
      </c>
      <c r="K66" s="230"/>
    </row>
    <row r="67" spans="1:11" s="1" customFormat="1">
      <c r="A67" s="169"/>
      <c r="B67" s="194">
        <v>780</v>
      </c>
      <c r="C67" s="239" t="s">
        <v>30</v>
      </c>
      <c r="D67" s="196" t="s">
        <v>237</v>
      </c>
      <c r="E67" s="195">
        <f t="shared" si="14"/>
        <v>95.823095823095812</v>
      </c>
      <c r="F67" s="195">
        <v>3.7</v>
      </c>
      <c r="G67" s="195">
        <v>2.2000000000000002</v>
      </c>
      <c r="H67" s="195">
        <f t="shared" si="8"/>
        <v>780</v>
      </c>
      <c r="I67" s="194" t="s">
        <v>127</v>
      </c>
      <c r="J67" s="194">
        <f t="shared" si="12"/>
        <v>1.5132000000000001</v>
      </c>
      <c r="K67" s="230"/>
    </row>
    <row r="68" spans="1:11" s="1" customFormat="1">
      <c r="A68" s="169"/>
      <c r="B68" s="194">
        <v>780</v>
      </c>
      <c r="C68" s="239" t="s">
        <v>30</v>
      </c>
      <c r="D68" s="196" t="s">
        <v>237</v>
      </c>
      <c r="E68" s="195">
        <f t="shared" si="14"/>
        <v>95.823095823095812</v>
      </c>
      <c r="F68" s="195">
        <v>3.7</v>
      </c>
      <c r="G68" s="195">
        <v>2.2000000000000002</v>
      </c>
      <c r="H68" s="195">
        <f t="shared" si="8"/>
        <v>780</v>
      </c>
      <c r="I68" s="194" t="s">
        <v>127</v>
      </c>
      <c r="J68" s="194">
        <f t="shared" si="12"/>
        <v>1.5132000000000001</v>
      </c>
      <c r="K68" s="230"/>
    </row>
    <row r="69" spans="1:11" s="1" customFormat="1">
      <c r="A69" s="169"/>
      <c r="B69" s="194">
        <v>780</v>
      </c>
      <c r="C69" s="239" t="s">
        <v>30</v>
      </c>
      <c r="D69" s="196" t="s">
        <v>237</v>
      </c>
      <c r="E69" s="195">
        <f t="shared" si="14"/>
        <v>95.823095823095812</v>
      </c>
      <c r="F69" s="195">
        <v>3.7</v>
      </c>
      <c r="G69" s="195">
        <v>2.2000000000000002</v>
      </c>
      <c r="H69" s="195">
        <f t="shared" si="8"/>
        <v>780</v>
      </c>
      <c r="I69" s="194" t="s">
        <v>127</v>
      </c>
      <c r="J69" s="194">
        <f t="shared" si="12"/>
        <v>1.5132000000000001</v>
      </c>
      <c r="K69" s="230"/>
    </row>
    <row r="70" spans="1:11" s="1" customFormat="1">
      <c r="A70" s="170"/>
      <c r="B70" s="190"/>
      <c r="C70" s="198"/>
      <c r="D70" s="199"/>
      <c r="E70" s="190"/>
      <c r="F70" s="190"/>
      <c r="G70" s="190"/>
      <c r="H70" s="187"/>
      <c r="I70" s="190"/>
      <c r="J70" s="200"/>
      <c r="K70" s="210"/>
    </row>
    <row r="71" spans="1:11">
      <c r="A71" s="245" t="s">
        <v>32</v>
      </c>
      <c r="B71" s="236"/>
      <c r="C71" s="201"/>
      <c r="D71" s="201"/>
      <c r="E71" s="201"/>
      <c r="F71" s="201"/>
      <c r="G71" s="201"/>
      <c r="H71" s="195"/>
      <c r="I71" s="201"/>
      <c r="J71" s="202"/>
      <c r="K71" s="210"/>
    </row>
    <row r="72" spans="1:11">
      <c r="A72" s="98" t="s">
        <v>96</v>
      </c>
      <c r="B72" s="187">
        <v>10</v>
      </c>
      <c r="C72" s="204" t="s">
        <v>117</v>
      </c>
      <c r="D72" s="205" t="s">
        <v>53</v>
      </c>
      <c r="E72" s="187">
        <v>200</v>
      </c>
      <c r="F72" s="187">
        <v>1.2</v>
      </c>
      <c r="G72" s="187">
        <v>1.5</v>
      </c>
      <c r="H72" s="195">
        <f t="shared" si="8"/>
        <v>359.99999999999994</v>
      </c>
      <c r="I72" s="187" t="s">
        <v>127</v>
      </c>
      <c r="J72" s="187">
        <f>201940/100000</f>
        <v>2.0194000000000001</v>
      </c>
      <c r="K72" s="226" t="s">
        <v>420</v>
      </c>
    </row>
    <row r="73" spans="1:11">
      <c r="A73" s="112" t="s">
        <v>98</v>
      </c>
      <c r="B73" s="206">
        <v>50</v>
      </c>
      <c r="C73" s="207" t="s">
        <v>115</v>
      </c>
      <c r="D73" s="37" t="s">
        <v>53</v>
      </c>
      <c r="E73" s="195">
        <v>65</v>
      </c>
      <c r="F73" s="195">
        <v>3</v>
      </c>
      <c r="G73" s="195">
        <v>0.1</v>
      </c>
      <c r="H73" s="195">
        <f t="shared" si="8"/>
        <v>19.500000000000004</v>
      </c>
      <c r="I73" s="187" t="s">
        <v>127</v>
      </c>
      <c r="J73" s="194">
        <f>109700/100000</f>
        <v>1.097</v>
      </c>
      <c r="K73" s="226" t="s">
        <v>421</v>
      </c>
    </row>
    <row r="74" spans="1:11">
      <c r="A74" s="112"/>
      <c r="B74" s="206">
        <v>2000</v>
      </c>
      <c r="C74" s="248" t="s">
        <v>125</v>
      </c>
      <c r="D74" s="37" t="s">
        <v>53</v>
      </c>
      <c r="E74" s="195">
        <f t="shared" ref="E74" si="15">1/(F74*G74)*B74</f>
        <v>190.47619047619045</v>
      </c>
      <c r="F74" s="195">
        <v>3.5</v>
      </c>
      <c r="G74" s="195">
        <v>3</v>
      </c>
      <c r="H74" s="195">
        <f t="shared" si="8"/>
        <v>1999.9999999999998</v>
      </c>
      <c r="I74" s="187" t="s">
        <v>127</v>
      </c>
      <c r="J74" s="194">
        <f>B74*194/100000</f>
        <v>3.88</v>
      </c>
      <c r="K74" s="226" t="s">
        <v>422</v>
      </c>
    </row>
    <row r="75" spans="1:11">
      <c r="A75" s="112"/>
      <c r="B75" s="194">
        <v>50</v>
      </c>
      <c r="C75" s="280" t="s">
        <v>124</v>
      </c>
      <c r="D75" s="37" t="s">
        <v>53</v>
      </c>
      <c r="E75" s="195">
        <v>45</v>
      </c>
      <c r="F75" s="195">
        <v>3.7</v>
      </c>
      <c r="G75" s="195">
        <v>0.15</v>
      </c>
      <c r="H75" s="195">
        <f t="shared" si="8"/>
        <v>24.975000000000001</v>
      </c>
      <c r="I75" s="187" t="s">
        <v>127</v>
      </c>
      <c r="J75" s="194">
        <f>109700/100000</f>
        <v>1.097</v>
      </c>
      <c r="K75" s="247" t="s">
        <v>423</v>
      </c>
    </row>
    <row r="76" spans="1:11">
      <c r="A76" s="114" t="s">
        <v>36</v>
      </c>
      <c r="B76" s="194">
        <v>1200</v>
      </c>
      <c r="C76" s="62" t="s">
        <v>49</v>
      </c>
      <c r="D76" s="37" t="s">
        <v>53</v>
      </c>
      <c r="E76" s="195">
        <f t="shared" ref="E76:E77" si="16">1/(F76*G76)*B76</f>
        <v>80</v>
      </c>
      <c r="F76" s="195">
        <v>15</v>
      </c>
      <c r="G76" s="195">
        <v>1</v>
      </c>
      <c r="H76" s="195">
        <f t="shared" si="8"/>
        <v>1200</v>
      </c>
      <c r="I76" s="187" t="s">
        <v>127</v>
      </c>
      <c r="J76" s="194">
        <f>B76*194/100000</f>
        <v>2.3279999999999998</v>
      </c>
      <c r="K76" s="226" t="s">
        <v>424</v>
      </c>
    </row>
    <row r="77" spans="1:11">
      <c r="A77" s="113"/>
      <c r="B77" s="194">
        <v>3321</v>
      </c>
      <c r="C77" s="62" t="s">
        <v>113</v>
      </c>
      <c r="D77" s="37" t="s">
        <v>121</v>
      </c>
      <c r="E77" s="195">
        <f t="shared" si="16"/>
        <v>27.675000000000001</v>
      </c>
      <c r="F77" s="195">
        <v>40</v>
      </c>
      <c r="G77" s="195">
        <v>3</v>
      </c>
      <c r="H77" s="195">
        <f t="shared" si="8"/>
        <v>3321</v>
      </c>
      <c r="I77" s="187" t="s">
        <v>127</v>
      </c>
      <c r="J77" s="194">
        <f>B77*194/100000</f>
        <v>6.4427399999999997</v>
      </c>
      <c r="K77" s="226" t="s">
        <v>425</v>
      </c>
    </row>
    <row r="78" spans="1:11" ht="45">
      <c r="A78" s="37" t="s">
        <v>114</v>
      </c>
      <c r="B78" s="194">
        <v>50</v>
      </c>
      <c r="C78" s="250" t="s">
        <v>37</v>
      </c>
      <c r="D78" s="209" t="s">
        <v>122</v>
      </c>
      <c r="E78" s="195">
        <v>15</v>
      </c>
      <c r="F78" s="195">
        <v>1.2</v>
      </c>
      <c r="G78" s="195">
        <v>2.2000000000000002</v>
      </c>
      <c r="H78" s="195">
        <f t="shared" si="8"/>
        <v>39.6</v>
      </c>
      <c r="I78" s="187" t="s">
        <v>127</v>
      </c>
      <c r="J78" s="194">
        <f>182241.11/100000</f>
        <v>1.8224110999999998</v>
      </c>
      <c r="K78" s="241" t="s">
        <v>426</v>
      </c>
    </row>
    <row r="79" spans="1:11">
      <c r="A79" s="99"/>
      <c r="B79" s="214">
        <f>SUM(B11:B78)</f>
        <v>61400</v>
      </c>
      <c r="C79" s="251"/>
      <c r="D79" s="252"/>
      <c r="E79" s="213"/>
      <c r="F79" s="213"/>
      <c r="G79" s="213"/>
      <c r="H79" s="213"/>
      <c r="I79" s="213"/>
      <c r="J79" s="253">
        <f>SUM(J11:J78)</f>
        <v>132.35111109999991</v>
      </c>
      <c r="K79" s="210"/>
    </row>
    <row r="80" spans="1:11">
      <c r="A80" s="210"/>
      <c r="B80" s="214"/>
      <c r="C80" s="210"/>
      <c r="D80" s="210"/>
      <c r="E80" s="210"/>
      <c r="F80" s="210"/>
      <c r="G80" s="210"/>
      <c r="H80" s="210"/>
      <c r="I80" s="210"/>
      <c r="J80" s="215">
        <f>E4/100000</f>
        <v>132.35111111111112</v>
      </c>
      <c r="K80" s="210"/>
    </row>
    <row r="81" spans="1:11">
      <c r="A81" s="210"/>
      <c r="B81" s="254">
        <f>B3*100</f>
        <v>61400</v>
      </c>
      <c r="C81" s="210"/>
      <c r="D81" s="210"/>
      <c r="E81" s="210"/>
      <c r="F81" s="210"/>
      <c r="G81" s="210"/>
      <c r="H81" s="210"/>
      <c r="I81" s="210"/>
      <c r="J81" s="255">
        <f>E2/100000</f>
        <v>119.116</v>
      </c>
      <c r="K81" s="210"/>
    </row>
    <row r="82" spans="1:11">
      <c r="A82" s="256" t="s">
        <v>38</v>
      </c>
      <c r="B82" s="210"/>
      <c r="C82" s="257">
        <f>E2/100000</f>
        <v>119.116</v>
      </c>
      <c r="D82" s="258" t="s">
        <v>39</v>
      </c>
      <c r="E82" s="210"/>
      <c r="F82" s="210"/>
      <c r="G82" s="210"/>
      <c r="H82" s="210"/>
      <c r="I82" s="210"/>
      <c r="J82" s="210"/>
      <c r="K82" s="210"/>
    </row>
    <row r="83" spans="1:11">
      <c r="A83" s="256" t="s">
        <v>40</v>
      </c>
      <c r="B83" s="210"/>
      <c r="C83" s="257">
        <f>C82*(1/9)</f>
        <v>13.235111111111109</v>
      </c>
      <c r="D83" s="258" t="s">
        <v>39</v>
      </c>
      <c r="E83" s="210"/>
      <c r="F83" s="210"/>
      <c r="G83" s="210"/>
      <c r="H83" s="210"/>
      <c r="I83" s="210"/>
      <c r="J83" s="210"/>
      <c r="K83" s="210"/>
    </row>
    <row r="84" spans="1:11">
      <c r="A84" s="258" t="s">
        <v>108</v>
      </c>
      <c r="B84" s="210"/>
      <c r="C84" s="210"/>
      <c r="D84" s="210"/>
      <c r="E84" s="210"/>
      <c r="F84" s="210"/>
      <c r="G84" s="210"/>
      <c r="H84" s="210"/>
      <c r="I84" s="210"/>
      <c r="J84" s="259"/>
      <c r="K84" s="210"/>
    </row>
    <row r="85" spans="1:1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</row>
    <row r="86" spans="1:1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</row>
    <row r="87" spans="1:1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</sheetData>
  <mergeCells count="24">
    <mergeCell ref="A76:A77"/>
    <mergeCell ref="A44:A45"/>
    <mergeCell ref="A73:A75"/>
    <mergeCell ref="E7:I8"/>
    <mergeCell ref="A12:A13"/>
    <mergeCell ref="A14:A15"/>
    <mergeCell ref="A7:A8"/>
    <mergeCell ref="B7:B8"/>
    <mergeCell ref="C7:C8"/>
    <mergeCell ref="D7:D8"/>
    <mergeCell ref="A16:A39"/>
    <mergeCell ref="A46:A62"/>
    <mergeCell ref="A63:A70"/>
    <mergeCell ref="K46:K56"/>
    <mergeCell ref="K58:K69"/>
    <mergeCell ref="K7:K9"/>
    <mergeCell ref="E2:G2"/>
    <mergeCell ref="E3:G3"/>
    <mergeCell ref="E4:G4"/>
    <mergeCell ref="E5:G5"/>
    <mergeCell ref="E6:G6"/>
    <mergeCell ref="J7:J8"/>
    <mergeCell ref="K16:K26"/>
    <mergeCell ref="K28:K39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K96"/>
  <sheetViews>
    <sheetView topLeftCell="A75" workbookViewId="0">
      <selection activeCell="H90" sqref="H90"/>
    </sheetView>
  </sheetViews>
  <sheetFormatPr defaultRowHeight="15"/>
  <cols>
    <col min="1" max="1" width="25.28515625" customWidth="1"/>
    <col min="2" max="2" width="8.28515625" customWidth="1"/>
    <col min="3" max="3" width="17.7109375" customWidth="1"/>
    <col min="4" max="4" width="24.5703125" customWidth="1"/>
    <col min="5" max="5" width="6" customWidth="1"/>
    <col min="6" max="6" width="6.5703125" customWidth="1"/>
    <col min="7" max="7" width="7.28515625" customWidth="1"/>
    <col min="8" max="8" width="7" customWidth="1"/>
    <col min="9" max="9" width="7.42578125" customWidth="1"/>
    <col min="10" max="10" width="14.28515625" bestFit="1" customWidth="1"/>
    <col min="11" max="11" width="28.140625" bestFit="1" customWidth="1"/>
  </cols>
  <sheetData>
    <row r="1" spans="1:11">
      <c r="A1" s="10" t="s">
        <v>139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</row>
    <row r="2" spans="1:11">
      <c r="A2" s="2"/>
      <c r="B2" s="6"/>
      <c r="C2" s="3"/>
      <c r="D2" s="3" t="s">
        <v>0</v>
      </c>
      <c r="E2" s="138">
        <f>B3*194*100</f>
        <v>15675200</v>
      </c>
      <c r="F2" s="138"/>
      <c r="G2" s="138"/>
      <c r="H2" s="52"/>
      <c r="I2" s="52"/>
      <c r="J2" s="9"/>
      <c r="K2" s="1"/>
    </row>
    <row r="3" spans="1:11">
      <c r="A3" s="10" t="s">
        <v>1</v>
      </c>
      <c r="B3" s="6">
        <v>808</v>
      </c>
      <c r="C3" s="3"/>
      <c r="D3" s="3" t="s">
        <v>2</v>
      </c>
      <c r="E3" s="139">
        <f>E2*1/9</f>
        <v>1741688.888888889</v>
      </c>
      <c r="F3" s="139"/>
      <c r="G3" s="139"/>
      <c r="H3" s="53"/>
      <c r="I3" s="53"/>
      <c r="J3" s="21"/>
      <c r="K3" s="1"/>
    </row>
    <row r="4" spans="1:11">
      <c r="A4" s="7"/>
      <c r="B4" s="5"/>
      <c r="C4" s="3"/>
      <c r="D4" s="3" t="s">
        <v>3</v>
      </c>
      <c r="E4" s="139">
        <f>SUM(E2:E3)</f>
        <v>17416888.888888888</v>
      </c>
      <c r="F4" s="139"/>
      <c r="G4" s="139"/>
      <c r="H4" s="53"/>
      <c r="I4" s="53"/>
      <c r="J4" s="9"/>
      <c r="K4" s="1"/>
    </row>
    <row r="5" spans="1:11">
      <c r="A5" s="7"/>
      <c r="B5" s="5"/>
      <c r="C5" s="3"/>
      <c r="D5" s="3" t="s">
        <v>4</v>
      </c>
      <c r="E5" s="139">
        <f>E4*0.06</f>
        <v>1045013.3333333333</v>
      </c>
      <c r="F5" s="139"/>
      <c r="G5" s="139"/>
      <c r="H5" s="53"/>
      <c r="I5" s="53"/>
      <c r="J5" s="9"/>
      <c r="K5" s="1"/>
    </row>
    <row r="6" spans="1:11">
      <c r="A6" s="7"/>
      <c r="B6" s="5"/>
      <c r="C6" s="3"/>
      <c r="D6" s="3" t="s">
        <v>5</v>
      </c>
      <c r="E6" s="140">
        <f>SUM(E4:E5)</f>
        <v>18461902.22222222</v>
      </c>
      <c r="F6" s="140"/>
      <c r="G6" s="140"/>
      <c r="H6" s="57"/>
      <c r="I6" s="57"/>
      <c r="J6" s="9"/>
      <c r="K6" s="1"/>
    </row>
    <row r="7" spans="1:1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575</v>
      </c>
      <c r="K7" s="162" t="s">
        <v>119</v>
      </c>
    </row>
    <row r="8" spans="1:11" ht="59.25" customHeight="1">
      <c r="A8" s="117"/>
      <c r="B8" s="118"/>
      <c r="C8" s="120"/>
      <c r="D8" s="122"/>
      <c r="E8" s="129"/>
      <c r="F8" s="130"/>
      <c r="G8" s="130"/>
      <c r="H8" s="130"/>
      <c r="I8" s="131"/>
      <c r="J8" s="111"/>
      <c r="K8" s="162"/>
    </row>
    <row r="9" spans="1:11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51"/>
      <c r="K9" s="162"/>
    </row>
    <row r="10" spans="1:11">
      <c r="A10" s="171" t="s">
        <v>11</v>
      </c>
      <c r="B10" s="172"/>
      <c r="C10" s="172"/>
      <c r="D10" s="172"/>
      <c r="E10" s="172"/>
      <c r="F10" s="172"/>
      <c r="G10" s="172"/>
      <c r="H10" s="172"/>
      <c r="I10" s="172"/>
      <c r="J10" s="173"/>
      <c r="K10" s="1"/>
    </row>
    <row r="11" spans="1:11" ht="30">
      <c r="A11" s="29" t="s">
        <v>12</v>
      </c>
      <c r="B11" s="54">
        <v>144</v>
      </c>
      <c r="C11" s="61" t="s">
        <v>109</v>
      </c>
      <c r="D11" s="12" t="s">
        <v>237</v>
      </c>
      <c r="E11" s="17">
        <f>1/(F11*G11)*B11</f>
        <v>24</v>
      </c>
      <c r="F11" s="54">
        <v>3</v>
      </c>
      <c r="G11" s="54">
        <v>2</v>
      </c>
      <c r="H11" s="54">
        <f>G11*F11*E11</f>
        <v>144</v>
      </c>
      <c r="I11" s="18" t="s">
        <v>126</v>
      </c>
      <c r="J11" s="18">
        <f>B11*194/100000</f>
        <v>0.27936</v>
      </c>
      <c r="K11" s="86" t="s">
        <v>427</v>
      </c>
    </row>
    <row r="12" spans="1:11">
      <c r="A12" s="104" t="s">
        <v>13</v>
      </c>
      <c r="B12" s="18"/>
      <c r="C12" s="11"/>
      <c r="D12" s="19"/>
      <c r="E12" s="17"/>
      <c r="F12" s="54"/>
      <c r="G12" s="17"/>
      <c r="H12" s="54">
        <f t="shared" ref="H12:H43" si="0">G12*F12*E12</f>
        <v>0</v>
      </c>
      <c r="I12" s="17"/>
      <c r="J12" s="18"/>
      <c r="K12" s="16"/>
    </row>
    <row r="13" spans="1:11">
      <c r="A13" s="106"/>
      <c r="B13" s="18">
        <v>10</v>
      </c>
      <c r="C13" s="12" t="s">
        <v>130</v>
      </c>
      <c r="D13" s="16"/>
      <c r="E13" s="17">
        <v>3</v>
      </c>
      <c r="F13" s="54">
        <v>3</v>
      </c>
      <c r="G13" s="17">
        <v>2</v>
      </c>
      <c r="H13" s="54">
        <f t="shared" si="0"/>
        <v>18</v>
      </c>
      <c r="I13" s="18" t="s">
        <v>127</v>
      </c>
      <c r="J13" s="18">
        <f>121940/100000</f>
        <v>1.2194</v>
      </c>
      <c r="K13" s="85" t="s">
        <v>428</v>
      </c>
    </row>
    <row r="14" spans="1:11">
      <c r="A14" s="116" t="s">
        <v>15</v>
      </c>
      <c r="B14" s="18">
        <v>300</v>
      </c>
      <c r="C14" s="11" t="s">
        <v>16</v>
      </c>
      <c r="D14" s="16" t="s">
        <v>120</v>
      </c>
      <c r="E14" s="17">
        <f t="shared" ref="E14" si="1">1/(F14*G14)*B14</f>
        <v>3333.333333333333</v>
      </c>
      <c r="F14" s="54">
        <v>0.3</v>
      </c>
      <c r="G14" s="17">
        <v>0.3</v>
      </c>
      <c r="H14" s="54">
        <f t="shared" si="0"/>
        <v>299.99999999999994</v>
      </c>
      <c r="I14" s="18" t="s">
        <v>127</v>
      </c>
      <c r="J14" s="18">
        <f>B14*194/100000</f>
        <v>0.58199999999999996</v>
      </c>
      <c r="K14" s="86" t="s">
        <v>429</v>
      </c>
    </row>
    <row r="15" spans="1:11" ht="30">
      <c r="A15" s="116"/>
      <c r="B15" s="18">
        <v>300</v>
      </c>
      <c r="C15" s="11" t="s">
        <v>18</v>
      </c>
      <c r="D15" s="16" t="s">
        <v>53</v>
      </c>
      <c r="E15" s="17">
        <f>1/(F15*G15)*B15</f>
        <v>300</v>
      </c>
      <c r="F15" s="54">
        <v>1</v>
      </c>
      <c r="G15" s="17">
        <v>1</v>
      </c>
      <c r="H15" s="54">
        <f t="shared" si="0"/>
        <v>300</v>
      </c>
      <c r="I15" s="18" t="s">
        <v>127</v>
      </c>
      <c r="J15" s="18">
        <f>B15*194/100000</f>
        <v>0.58199999999999996</v>
      </c>
      <c r="K15" s="85" t="s">
        <v>430</v>
      </c>
    </row>
    <row r="16" spans="1:11">
      <c r="A16" s="272" t="s">
        <v>19</v>
      </c>
      <c r="B16" s="194">
        <v>1500</v>
      </c>
      <c r="C16" s="229" t="s">
        <v>20</v>
      </c>
      <c r="D16" s="196" t="s">
        <v>237</v>
      </c>
      <c r="E16" s="195">
        <f t="shared" ref="E16:E43" si="2">1/(F16*G16)*B16</f>
        <v>1000</v>
      </c>
      <c r="F16" s="217">
        <v>1.5</v>
      </c>
      <c r="G16" s="195">
        <v>1</v>
      </c>
      <c r="H16" s="217">
        <f t="shared" si="0"/>
        <v>1500</v>
      </c>
      <c r="I16" s="194" t="s">
        <v>127</v>
      </c>
      <c r="J16" s="194">
        <f>B16*194/100000</f>
        <v>2.91</v>
      </c>
      <c r="K16" s="242" t="s">
        <v>431</v>
      </c>
    </row>
    <row r="17" spans="1:11">
      <c r="A17" s="274"/>
      <c r="B17" s="194">
        <v>1500</v>
      </c>
      <c r="C17" s="229" t="s">
        <v>20</v>
      </c>
      <c r="D17" s="196" t="s">
        <v>237</v>
      </c>
      <c r="E17" s="195">
        <f t="shared" si="2"/>
        <v>1000</v>
      </c>
      <c r="F17" s="195">
        <v>1.5</v>
      </c>
      <c r="G17" s="195">
        <v>1</v>
      </c>
      <c r="H17" s="217">
        <f t="shared" si="0"/>
        <v>1500</v>
      </c>
      <c r="I17" s="194" t="s">
        <v>127</v>
      </c>
      <c r="J17" s="194">
        <f t="shared" ref="J17:J28" si="3">B17*194/100000</f>
        <v>2.91</v>
      </c>
      <c r="K17" s="243"/>
    </row>
    <row r="18" spans="1:11">
      <c r="A18" s="274"/>
      <c r="B18" s="194">
        <v>1500</v>
      </c>
      <c r="C18" s="229" t="s">
        <v>20</v>
      </c>
      <c r="D18" s="196" t="s">
        <v>237</v>
      </c>
      <c r="E18" s="195">
        <f t="shared" si="2"/>
        <v>1000</v>
      </c>
      <c r="F18" s="195">
        <v>1.5</v>
      </c>
      <c r="G18" s="195">
        <v>1</v>
      </c>
      <c r="H18" s="217">
        <f t="shared" si="0"/>
        <v>1500</v>
      </c>
      <c r="I18" s="194" t="s">
        <v>127</v>
      </c>
      <c r="J18" s="194">
        <f t="shared" si="3"/>
        <v>2.91</v>
      </c>
      <c r="K18" s="243"/>
    </row>
    <row r="19" spans="1:11">
      <c r="A19" s="274"/>
      <c r="B19" s="194">
        <v>1500</v>
      </c>
      <c r="C19" s="229" t="s">
        <v>20</v>
      </c>
      <c r="D19" s="196" t="s">
        <v>237</v>
      </c>
      <c r="E19" s="195">
        <f t="shared" si="2"/>
        <v>1000</v>
      </c>
      <c r="F19" s="195">
        <v>1.5</v>
      </c>
      <c r="G19" s="195">
        <v>1</v>
      </c>
      <c r="H19" s="217">
        <f t="shared" si="0"/>
        <v>1500</v>
      </c>
      <c r="I19" s="194" t="s">
        <v>127</v>
      </c>
      <c r="J19" s="194">
        <f t="shared" si="3"/>
        <v>2.91</v>
      </c>
      <c r="K19" s="243"/>
    </row>
    <row r="20" spans="1:11">
      <c r="A20" s="274"/>
      <c r="B20" s="194">
        <v>1500</v>
      </c>
      <c r="C20" s="229" t="s">
        <v>20</v>
      </c>
      <c r="D20" s="196" t="s">
        <v>237</v>
      </c>
      <c r="E20" s="195">
        <f t="shared" si="2"/>
        <v>1000</v>
      </c>
      <c r="F20" s="195">
        <v>1.5</v>
      </c>
      <c r="G20" s="195">
        <v>1</v>
      </c>
      <c r="H20" s="217">
        <f t="shared" si="0"/>
        <v>1500</v>
      </c>
      <c r="I20" s="194" t="s">
        <v>127</v>
      </c>
      <c r="J20" s="194">
        <f t="shared" si="3"/>
        <v>2.91</v>
      </c>
      <c r="K20" s="243"/>
    </row>
    <row r="21" spans="1:11">
      <c r="A21" s="274"/>
      <c r="B21" s="194">
        <v>1500</v>
      </c>
      <c r="C21" s="229" t="s">
        <v>20</v>
      </c>
      <c r="D21" s="196" t="s">
        <v>237</v>
      </c>
      <c r="E21" s="195">
        <f t="shared" si="2"/>
        <v>1000</v>
      </c>
      <c r="F21" s="195">
        <v>1.5</v>
      </c>
      <c r="G21" s="195">
        <v>1</v>
      </c>
      <c r="H21" s="217">
        <f t="shared" si="0"/>
        <v>1500</v>
      </c>
      <c r="I21" s="194" t="s">
        <v>127</v>
      </c>
      <c r="J21" s="194">
        <f t="shared" si="3"/>
        <v>2.91</v>
      </c>
      <c r="K21" s="243"/>
    </row>
    <row r="22" spans="1:11">
      <c r="A22" s="274"/>
      <c r="B22" s="194">
        <v>1500</v>
      </c>
      <c r="C22" s="229" t="s">
        <v>20</v>
      </c>
      <c r="D22" s="196" t="s">
        <v>237</v>
      </c>
      <c r="E22" s="195">
        <f t="shared" si="2"/>
        <v>1000</v>
      </c>
      <c r="F22" s="195">
        <v>1.5</v>
      </c>
      <c r="G22" s="195">
        <v>1</v>
      </c>
      <c r="H22" s="217">
        <f t="shared" si="0"/>
        <v>1500</v>
      </c>
      <c r="I22" s="194" t="s">
        <v>127</v>
      </c>
      <c r="J22" s="194">
        <f t="shared" si="3"/>
        <v>2.91</v>
      </c>
      <c r="K22" s="243"/>
    </row>
    <row r="23" spans="1:11">
      <c r="A23" s="274"/>
      <c r="B23" s="194">
        <v>1500</v>
      </c>
      <c r="C23" s="229" t="s">
        <v>20</v>
      </c>
      <c r="D23" s="196" t="s">
        <v>237</v>
      </c>
      <c r="E23" s="195">
        <f t="shared" si="2"/>
        <v>1000</v>
      </c>
      <c r="F23" s="195">
        <v>1.5</v>
      </c>
      <c r="G23" s="195">
        <v>1</v>
      </c>
      <c r="H23" s="217">
        <f t="shared" si="0"/>
        <v>1500</v>
      </c>
      <c r="I23" s="194" t="s">
        <v>127</v>
      </c>
      <c r="J23" s="194">
        <f t="shared" si="3"/>
        <v>2.91</v>
      </c>
      <c r="K23" s="243"/>
    </row>
    <row r="24" spans="1:11">
      <c r="A24" s="274"/>
      <c r="B24" s="194">
        <v>1500</v>
      </c>
      <c r="C24" s="229" t="s">
        <v>20</v>
      </c>
      <c r="D24" s="196" t="s">
        <v>237</v>
      </c>
      <c r="E24" s="195">
        <f t="shared" si="2"/>
        <v>1000</v>
      </c>
      <c r="F24" s="195">
        <v>1.5</v>
      </c>
      <c r="G24" s="195">
        <v>1</v>
      </c>
      <c r="H24" s="217">
        <f t="shared" si="0"/>
        <v>1500</v>
      </c>
      <c r="I24" s="194" t="s">
        <v>127</v>
      </c>
      <c r="J24" s="194">
        <f t="shared" si="3"/>
        <v>2.91</v>
      </c>
      <c r="K24" s="243"/>
    </row>
    <row r="25" spans="1:11">
      <c r="A25" s="274"/>
      <c r="B25" s="194">
        <v>1500</v>
      </c>
      <c r="C25" s="229" t="s">
        <v>20</v>
      </c>
      <c r="D25" s="196" t="s">
        <v>237</v>
      </c>
      <c r="E25" s="195">
        <f t="shared" si="2"/>
        <v>1000</v>
      </c>
      <c r="F25" s="195">
        <v>1.5</v>
      </c>
      <c r="G25" s="195">
        <v>1</v>
      </c>
      <c r="H25" s="217">
        <f t="shared" si="0"/>
        <v>1500</v>
      </c>
      <c r="I25" s="194" t="s">
        <v>127</v>
      </c>
      <c r="J25" s="194">
        <f t="shared" si="3"/>
        <v>2.91</v>
      </c>
      <c r="K25" s="243"/>
    </row>
    <row r="26" spans="1:11">
      <c r="A26" s="272" t="s">
        <v>19</v>
      </c>
      <c r="B26" s="194">
        <v>1500</v>
      </c>
      <c r="C26" s="229" t="s">
        <v>20</v>
      </c>
      <c r="D26" s="196" t="s">
        <v>237</v>
      </c>
      <c r="E26" s="195">
        <f t="shared" si="2"/>
        <v>1000</v>
      </c>
      <c r="F26" s="195">
        <v>1.5</v>
      </c>
      <c r="G26" s="195">
        <v>1</v>
      </c>
      <c r="H26" s="217">
        <f t="shared" si="0"/>
        <v>1500</v>
      </c>
      <c r="I26" s="194" t="s">
        <v>127</v>
      </c>
      <c r="J26" s="194">
        <f t="shared" si="3"/>
        <v>2.91</v>
      </c>
      <c r="K26" s="243"/>
    </row>
    <row r="27" spans="1:11">
      <c r="A27" s="274"/>
      <c r="B27" s="194">
        <v>1500</v>
      </c>
      <c r="C27" s="229" t="s">
        <v>20</v>
      </c>
      <c r="D27" s="196" t="s">
        <v>237</v>
      </c>
      <c r="E27" s="195">
        <f t="shared" si="2"/>
        <v>1000</v>
      </c>
      <c r="F27" s="195">
        <v>1.5</v>
      </c>
      <c r="G27" s="195">
        <v>1</v>
      </c>
      <c r="H27" s="217">
        <f t="shared" si="0"/>
        <v>1500</v>
      </c>
      <c r="I27" s="194" t="s">
        <v>127</v>
      </c>
      <c r="J27" s="194">
        <f t="shared" si="3"/>
        <v>2.91</v>
      </c>
      <c r="K27" s="243"/>
    </row>
    <row r="28" spans="1:11" s="1" customFormat="1">
      <c r="A28" s="274"/>
      <c r="B28" s="194">
        <v>1500</v>
      </c>
      <c r="C28" s="229" t="s">
        <v>20</v>
      </c>
      <c r="D28" s="196" t="s">
        <v>237</v>
      </c>
      <c r="E28" s="195">
        <f t="shared" ref="E28:E34" si="4">1/(F28*G28)*B28</f>
        <v>1000</v>
      </c>
      <c r="F28" s="195">
        <v>1.5</v>
      </c>
      <c r="G28" s="195">
        <v>1</v>
      </c>
      <c r="H28" s="217">
        <f t="shared" ref="H28:H34" si="5">G28*F28*E28</f>
        <v>1500</v>
      </c>
      <c r="I28" s="194" t="s">
        <v>127</v>
      </c>
      <c r="J28" s="194">
        <f t="shared" si="3"/>
        <v>2.91</v>
      </c>
      <c r="K28" s="244"/>
    </row>
    <row r="29" spans="1:11" s="1" customFormat="1">
      <c r="A29" s="274"/>
      <c r="B29" s="187"/>
      <c r="C29" s="188"/>
      <c r="D29" s="189"/>
      <c r="E29" s="187"/>
      <c r="F29" s="187"/>
      <c r="G29" s="187"/>
      <c r="H29" s="187"/>
      <c r="I29" s="187"/>
      <c r="J29" s="187"/>
      <c r="K29" s="210"/>
    </row>
    <row r="30" spans="1:11" s="1" customFormat="1">
      <c r="A30" s="274"/>
      <c r="B30" s="194">
        <v>1500</v>
      </c>
      <c r="C30" s="229" t="s">
        <v>20</v>
      </c>
      <c r="D30" s="196" t="s">
        <v>237</v>
      </c>
      <c r="E30" s="195">
        <f t="shared" si="4"/>
        <v>1000</v>
      </c>
      <c r="F30" s="195">
        <v>1.5</v>
      </c>
      <c r="G30" s="195">
        <v>1</v>
      </c>
      <c r="H30" s="217">
        <f t="shared" si="5"/>
        <v>1500</v>
      </c>
      <c r="I30" s="194" t="s">
        <v>127</v>
      </c>
      <c r="J30" s="194">
        <f>B30*194/100000</f>
        <v>2.91</v>
      </c>
      <c r="K30" s="230" t="s">
        <v>432</v>
      </c>
    </row>
    <row r="31" spans="1:11" s="1" customFormat="1">
      <c r="A31" s="274"/>
      <c r="B31" s="194">
        <v>1500</v>
      </c>
      <c r="C31" s="229" t="s">
        <v>20</v>
      </c>
      <c r="D31" s="196" t="s">
        <v>237</v>
      </c>
      <c r="E31" s="195">
        <f t="shared" si="4"/>
        <v>1000</v>
      </c>
      <c r="F31" s="195">
        <v>1.5</v>
      </c>
      <c r="G31" s="195">
        <v>1</v>
      </c>
      <c r="H31" s="217">
        <f t="shared" si="5"/>
        <v>1500</v>
      </c>
      <c r="I31" s="194" t="s">
        <v>127</v>
      </c>
      <c r="J31" s="194">
        <f t="shared" ref="J31:J46" si="6">B31*194/100000</f>
        <v>2.91</v>
      </c>
      <c r="K31" s="230"/>
    </row>
    <row r="32" spans="1:11" s="1" customFormat="1">
      <c r="A32" s="274"/>
      <c r="B32" s="194">
        <v>1500</v>
      </c>
      <c r="C32" s="229" t="s">
        <v>20</v>
      </c>
      <c r="D32" s="196" t="s">
        <v>237</v>
      </c>
      <c r="E32" s="195">
        <f t="shared" si="4"/>
        <v>1000</v>
      </c>
      <c r="F32" s="195">
        <v>1.5</v>
      </c>
      <c r="G32" s="195">
        <v>1</v>
      </c>
      <c r="H32" s="217">
        <f t="shared" si="5"/>
        <v>1500</v>
      </c>
      <c r="I32" s="194" t="s">
        <v>127</v>
      </c>
      <c r="J32" s="194">
        <f t="shared" si="6"/>
        <v>2.91</v>
      </c>
      <c r="K32" s="230"/>
    </row>
    <row r="33" spans="1:11" s="1" customFormat="1">
      <c r="A33" s="274"/>
      <c r="B33" s="194">
        <v>1500</v>
      </c>
      <c r="C33" s="229" t="s">
        <v>20</v>
      </c>
      <c r="D33" s="196" t="s">
        <v>237</v>
      </c>
      <c r="E33" s="195">
        <f t="shared" si="4"/>
        <v>1000</v>
      </c>
      <c r="F33" s="195">
        <v>1.5</v>
      </c>
      <c r="G33" s="195">
        <v>1</v>
      </c>
      <c r="H33" s="217">
        <f t="shared" si="5"/>
        <v>1500</v>
      </c>
      <c r="I33" s="194" t="s">
        <v>127</v>
      </c>
      <c r="J33" s="194">
        <f t="shared" si="6"/>
        <v>2.91</v>
      </c>
      <c r="K33" s="230"/>
    </row>
    <row r="34" spans="1:11" s="1" customFormat="1">
      <c r="A34" s="274"/>
      <c r="B34" s="194">
        <v>1500</v>
      </c>
      <c r="C34" s="229" t="s">
        <v>20</v>
      </c>
      <c r="D34" s="196" t="s">
        <v>237</v>
      </c>
      <c r="E34" s="195">
        <f t="shared" si="4"/>
        <v>1000</v>
      </c>
      <c r="F34" s="195">
        <v>1.5</v>
      </c>
      <c r="G34" s="195">
        <v>1</v>
      </c>
      <c r="H34" s="217">
        <f t="shared" si="5"/>
        <v>1500</v>
      </c>
      <c r="I34" s="194" t="s">
        <v>127</v>
      </c>
      <c r="J34" s="194">
        <f t="shared" si="6"/>
        <v>2.91</v>
      </c>
      <c r="K34" s="230"/>
    </row>
    <row r="35" spans="1:11">
      <c r="A35" s="274"/>
      <c r="B35" s="194">
        <v>1500</v>
      </c>
      <c r="C35" s="229" t="s">
        <v>20</v>
      </c>
      <c r="D35" s="196" t="s">
        <v>237</v>
      </c>
      <c r="E35" s="195">
        <f t="shared" si="2"/>
        <v>1000</v>
      </c>
      <c r="F35" s="195">
        <v>1.5</v>
      </c>
      <c r="G35" s="195">
        <v>1</v>
      </c>
      <c r="H35" s="217">
        <f t="shared" si="0"/>
        <v>1500</v>
      </c>
      <c r="I35" s="194" t="s">
        <v>127</v>
      </c>
      <c r="J35" s="194">
        <f t="shared" si="6"/>
        <v>2.91</v>
      </c>
      <c r="K35" s="230"/>
    </row>
    <row r="36" spans="1:11">
      <c r="A36" s="274"/>
      <c r="B36" s="194">
        <v>1500</v>
      </c>
      <c r="C36" s="229" t="s">
        <v>20</v>
      </c>
      <c r="D36" s="196" t="s">
        <v>237</v>
      </c>
      <c r="E36" s="195">
        <f t="shared" si="2"/>
        <v>1000</v>
      </c>
      <c r="F36" s="195">
        <v>1.5</v>
      </c>
      <c r="G36" s="195">
        <v>1</v>
      </c>
      <c r="H36" s="217">
        <f t="shared" si="0"/>
        <v>1500</v>
      </c>
      <c r="I36" s="194" t="s">
        <v>127</v>
      </c>
      <c r="J36" s="194">
        <f t="shared" si="6"/>
        <v>2.91</v>
      </c>
      <c r="K36" s="230"/>
    </row>
    <row r="37" spans="1:11">
      <c r="A37" s="274"/>
      <c r="B37" s="194">
        <v>1500</v>
      </c>
      <c r="C37" s="229" t="s">
        <v>20</v>
      </c>
      <c r="D37" s="196" t="s">
        <v>237</v>
      </c>
      <c r="E37" s="195">
        <f t="shared" ref="E37:E38" si="7">1/(F37*G37)*B37</f>
        <v>1000</v>
      </c>
      <c r="F37" s="195">
        <v>1.5</v>
      </c>
      <c r="G37" s="195">
        <v>1</v>
      </c>
      <c r="H37" s="217">
        <f t="shared" ref="H37:H38" si="8">G37*F37*E37</f>
        <v>1500</v>
      </c>
      <c r="I37" s="194" t="s">
        <v>127</v>
      </c>
      <c r="J37" s="194">
        <f t="shared" si="6"/>
        <v>2.91</v>
      </c>
      <c r="K37" s="230"/>
    </row>
    <row r="38" spans="1:11">
      <c r="A38" s="274"/>
      <c r="B38" s="194">
        <v>1500</v>
      </c>
      <c r="C38" s="229" t="s">
        <v>20</v>
      </c>
      <c r="D38" s="196" t="s">
        <v>237</v>
      </c>
      <c r="E38" s="195">
        <f t="shared" si="7"/>
        <v>1000</v>
      </c>
      <c r="F38" s="195">
        <v>1.5</v>
      </c>
      <c r="G38" s="195">
        <v>1</v>
      </c>
      <c r="H38" s="217">
        <f t="shared" si="8"/>
        <v>1500</v>
      </c>
      <c r="I38" s="194" t="s">
        <v>127</v>
      </c>
      <c r="J38" s="194">
        <f t="shared" si="6"/>
        <v>2.91</v>
      </c>
      <c r="K38" s="230"/>
    </row>
    <row r="39" spans="1:11">
      <c r="A39" s="274"/>
      <c r="B39" s="194">
        <v>1500</v>
      </c>
      <c r="C39" s="229" t="s">
        <v>20</v>
      </c>
      <c r="D39" s="196" t="s">
        <v>237</v>
      </c>
      <c r="E39" s="195">
        <f t="shared" si="2"/>
        <v>1000</v>
      </c>
      <c r="F39" s="195">
        <v>1.5</v>
      </c>
      <c r="G39" s="195">
        <v>1</v>
      </c>
      <c r="H39" s="217">
        <f t="shared" si="0"/>
        <v>1500</v>
      </c>
      <c r="I39" s="194" t="s">
        <v>127</v>
      </c>
      <c r="J39" s="194">
        <f t="shared" si="6"/>
        <v>2.91</v>
      </c>
      <c r="K39" s="230"/>
    </row>
    <row r="40" spans="1:11">
      <c r="A40" s="274"/>
      <c r="B40" s="194">
        <v>1500</v>
      </c>
      <c r="C40" s="229" t="s">
        <v>20</v>
      </c>
      <c r="D40" s="196" t="s">
        <v>237</v>
      </c>
      <c r="E40" s="195">
        <f t="shared" si="2"/>
        <v>1000</v>
      </c>
      <c r="F40" s="195">
        <v>1.5</v>
      </c>
      <c r="G40" s="195">
        <v>1</v>
      </c>
      <c r="H40" s="217">
        <f t="shared" si="0"/>
        <v>1500</v>
      </c>
      <c r="I40" s="194" t="s">
        <v>127</v>
      </c>
      <c r="J40" s="194">
        <f t="shared" si="6"/>
        <v>2.91</v>
      </c>
      <c r="K40" s="230"/>
    </row>
    <row r="41" spans="1:11">
      <c r="A41" s="274"/>
      <c r="B41" s="194">
        <v>1500</v>
      </c>
      <c r="C41" s="229" t="s">
        <v>20</v>
      </c>
      <c r="D41" s="196" t="s">
        <v>237</v>
      </c>
      <c r="E41" s="195">
        <f t="shared" si="2"/>
        <v>1000</v>
      </c>
      <c r="F41" s="195">
        <v>1.5</v>
      </c>
      <c r="G41" s="195">
        <v>1</v>
      </c>
      <c r="H41" s="217">
        <f t="shared" si="0"/>
        <v>1500</v>
      </c>
      <c r="I41" s="194" t="s">
        <v>127</v>
      </c>
      <c r="J41" s="194">
        <f t="shared" si="6"/>
        <v>2.91</v>
      </c>
      <c r="K41" s="230"/>
    </row>
    <row r="42" spans="1:11">
      <c r="A42" s="274"/>
      <c r="B42" s="194">
        <v>1500</v>
      </c>
      <c r="C42" s="229" t="s">
        <v>20</v>
      </c>
      <c r="D42" s="196" t="s">
        <v>237</v>
      </c>
      <c r="E42" s="195">
        <f t="shared" si="2"/>
        <v>1000</v>
      </c>
      <c r="F42" s="195">
        <v>1.5</v>
      </c>
      <c r="G42" s="195">
        <v>1</v>
      </c>
      <c r="H42" s="217">
        <f t="shared" si="0"/>
        <v>1500</v>
      </c>
      <c r="I42" s="194" t="s">
        <v>127</v>
      </c>
      <c r="J42" s="194">
        <f t="shared" si="6"/>
        <v>2.91</v>
      </c>
      <c r="K42" s="230"/>
    </row>
    <row r="43" spans="1:11">
      <c r="A43" s="274"/>
      <c r="B43" s="194">
        <v>1500</v>
      </c>
      <c r="C43" s="229" t="s">
        <v>20</v>
      </c>
      <c r="D43" s="196" t="s">
        <v>237</v>
      </c>
      <c r="E43" s="195">
        <f t="shared" si="2"/>
        <v>1000</v>
      </c>
      <c r="F43" s="195">
        <v>1.5</v>
      </c>
      <c r="G43" s="195">
        <v>1</v>
      </c>
      <c r="H43" s="217">
        <f t="shared" si="0"/>
        <v>1500</v>
      </c>
      <c r="I43" s="194" t="s">
        <v>127</v>
      </c>
      <c r="J43" s="194">
        <f t="shared" si="6"/>
        <v>2.91</v>
      </c>
      <c r="K43" s="230"/>
    </row>
    <row r="44" spans="1:11" s="1" customFormat="1">
      <c r="A44" s="274"/>
      <c r="B44" s="194"/>
      <c r="C44" s="229"/>
      <c r="D44" s="196"/>
      <c r="E44" s="195"/>
      <c r="F44" s="195"/>
      <c r="G44" s="195"/>
      <c r="H44" s="217"/>
      <c r="I44" s="194"/>
      <c r="J44" s="194"/>
      <c r="K44" s="210"/>
    </row>
    <row r="45" spans="1:11" s="1" customFormat="1">
      <c r="A45" s="274"/>
      <c r="B45" s="194">
        <v>1500</v>
      </c>
      <c r="C45" s="262" t="s">
        <v>129</v>
      </c>
      <c r="D45" s="196" t="s">
        <v>237</v>
      </c>
      <c r="E45" s="195">
        <f>1/(F45*G45)*B45</f>
        <v>1500</v>
      </c>
      <c r="F45" s="195">
        <v>1</v>
      </c>
      <c r="G45" s="195">
        <v>1</v>
      </c>
      <c r="H45" s="217">
        <f>G45*F45*E45</f>
        <v>1500</v>
      </c>
      <c r="I45" s="194" t="s">
        <v>127</v>
      </c>
      <c r="J45" s="194">
        <f t="shared" si="6"/>
        <v>2.91</v>
      </c>
      <c r="K45" s="230" t="s">
        <v>433</v>
      </c>
    </row>
    <row r="46" spans="1:11" s="1" customFormat="1">
      <c r="A46" s="277"/>
      <c r="B46" s="194">
        <v>1500</v>
      </c>
      <c r="C46" s="262" t="s">
        <v>129</v>
      </c>
      <c r="D46" s="196" t="s">
        <v>237</v>
      </c>
      <c r="E46" s="195">
        <f>1/(F46*G46)*B46</f>
        <v>1500</v>
      </c>
      <c r="F46" s="195">
        <v>1</v>
      </c>
      <c r="G46" s="195">
        <v>1</v>
      </c>
      <c r="H46" s="217">
        <f>G46*F46*E46</f>
        <v>1500</v>
      </c>
      <c r="I46" s="194" t="s">
        <v>127</v>
      </c>
      <c r="J46" s="194">
        <f t="shared" si="6"/>
        <v>2.91</v>
      </c>
      <c r="K46" s="230"/>
    </row>
    <row r="47" spans="1:11" s="1" customFormat="1">
      <c r="A47" s="279"/>
      <c r="B47" s="190"/>
      <c r="C47" s="191"/>
      <c r="D47" s="199"/>
      <c r="E47" s="190"/>
      <c r="F47" s="190"/>
      <c r="G47" s="190"/>
      <c r="H47" s="190"/>
      <c r="I47" s="190"/>
      <c r="J47" s="190"/>
      <c r="K47" s="210"/>
    </row>
    <row r="48" spans="1:11">
      <c r="A48" s="201" t="s">
        <v>21</v>
      </c>
      <c r="B48" s="236"/>
      <c r="C48" s="201"/>
      <c r="D48" s="201"/>
      <c r="E48" s="201"/>
      <c r="F48" s="201"/>
      <c r="G48" s="201"/>
      <c r="H48" s="201"/>
      <c r="I48" s="201"/>
      <c r="J48" s="201"/>
      <c r="K48" s="210"/>
    </row>
    <row r="49" spans="1:11">
      <c r="A49" s="236"/>
      <c r="B49" s="236"/>
      <c r="C49" s="236"/>
      <c r="D49" s="236"/>
      <c r="E49" s="236"/>
      <c r="F49" s="236"/>
      <c r="G49" s="236"/>
      <c r="H49" s="236"/>
      <c r="I49" s="236"/>
      <c r="J49" s="236"/>
      <c r="K49" s="210"/>
    </row>
    <row r="50" spans="1:11" ht="15" customHeight="1">
      <c r="A50" s="96" t="s">
        <v>22</v>
      </c>
      <c r="B50" s="194">
        <v>1500</v>
      </c>
      <c r="C50" s="239" t="s">
        <v>23</v>
      </c>
      <c r="D50" s="37"/>
      <c r="E50" s="195">
        <f>1/(F50*G50)*B50</f>
        <v>75</v>
      </c>
      <c r="F50" s="195">
        <v>20</v>
      </c>
      <c r="G50" s="195">
        <v>1</v>
      </c>
      <c r="H50" s="195">
        <f>G50*F50*E50</f>
        <v>1500</v>
      </c>
      <c r="I50" s="194" t="s">
        <v>127</v>
      </c>
      <c r="J50" s="194">
        <f>B50*194/100000</f>
        <v>2.91</v>
      </c>
      <c r="K50" s="226" t="s">
        <v>434</v>
      </c>
    </row>
    <row r="51" spans="1:11" ht="15" customHeight="1">
      <c r="A51" s="115" t="s">
        <v>28</v>
      </c>
      <c r="B51" s="194">
        <v>5</v>
      </c>
      <c r="C51" s="196" t="s">
        <v>66</v>
      </c>
      <c r="D51" s="37" t="s">
        <v>567</v>
      </c>
      <c r="E51" s="195">
        <v>3.05</v>
      </c>
      <c r="F51" s="195">
        <v>2</v>
      </c>
      <c r="G51" s="195">
        <v>2.2000000000000002</v>
      </c>
      <c r="H51" s="195">
        <f t="shared" ref="H51:H86" si="9">G51*F51*E51</f>
        <v>13.42</v>
      </c>
      <c r="I51" s="194" t="s">
        <v>577</v>
      </c>
      <c r="J51" s="194">
        <f>91940/100000</f>
        <v>0.9194</v>
      </c>
      <c r="K51" s="226" t="s">
        <v>435</v>
      </c>
    </row>
    <row r="52" spans="1:11" ht="15" customHeight="1">
      <c r="A52" s="115"/>
      <c r="B52" s="194">
        <v>20</v>
      </c>
      <c r="C52" s="35" t="s">
        <v>67</v>
      </c>
      <c r="D52" s="37" t="s">
        <v>568</v>
      </c>
      <c r="E52" s="195">
        <v>3.05</v>
      </c>
      <c r="F52" s="195">
        <v>2</v>
      </c>
      <c r="G52" s="195">
        <v>2.2000000000000002</v>
      </c>
      <c r="H52" s="195">
        <f t="shared" si="9"/>
        <v>13.42</v>
      </c>
      <c r="I52" s="194" t="s">
        <v>577</v>
      </c>
      <c r="J52" s="194">
        <f>543880/100000</f>
        <v>5.4387999999999996</v>
      </c>
      <c r="K52" s="226" t="s">
        <v>436</v>
      </c>
    </row>
    <row r="53" spans="1:11" ht="15" customHeight="1">
      <c r="A53" s="123" t="s">
        <v>29</v>
      </c>
      <c r="B53" s="194">
        <v>780</v>
      </c>
      <c r="C53" s="209" t="s">
        <v>30</v>
      </c>
      <c r="D53" s="196" t="s">
        <v>237</v>
      </c>
      <c r="E53" s="195">
        <f t="shared" ref="E53:E78" si="10">1/(F53*G53)*B53</f>
        <v>52</v>
      </c>
      <c r="F53" s="195">
        <v>5</v>
      </c>
      <c r="G53" s="195">
        <v>3</v>
      </c>
      <c r="H53" s="195">
        <f t="shared" si="9"/>
        <v>780</v>
      </c>
      <c r="I53" s="194" t="s">
        <v>127</v>
      </c>
      <c r="J53" s="194">
        <f>B53*194/100000</f>
        <v>1.5132000000000001</v>
      </c>
      <c r="K53" s="230" t="s">
        <v>437</v>
      </c>
    </row>
    <row r="54" spans="1:11" ht="15" customHeight="1">
      <c r="A54" s="124"/>
      <c r="B54" s="194">
        <v>780</v>
      </c>
      <c r="C54" s="239" t="s">
        <v>30</v>
      </c>
      <c r="D54" s="196" t="s">
        <v>237</v>
      </c>
      <c r="E54" s="195">
        <f t="shared" si="10"/>
        <v>95.823095823095812</v>
      </c>
      <c r="F54" s="195">
        <v>3.7</v>
      </c>
      <c r="G54" s="195">
        <v>2.2000000000000002</v>
      </c>
      <c r="H54" s="195">
        <f t="shared" si="9"/>
        <v>780</v>
      </c>
      <c r="I54" s="194" t="s">
        <v>127</v>
      </c>
      <c r="J54" s="194">
        <f t="shared" ref="J54:J63" si="11">B54*194/100000</f>
        <v>1.5132000000000001</v>
      </c>
      <c r="K54" s="230"/>
    </row>
    <row r="55" spans="1:11" ht="15" customHeight="1">
      <c r="A55" s="124"/>
      <c r="B55" s="194">
        <v>780</v>
      </c>
      <c r="C55" s="239" t="s">
        <v>30</v>
      </c>
      <c r="D55" s="196" t="s">
        <v>237</v>
      </c>
      <c r="E55" s="195">
        <f t="shared" si="10"/>
        <v>95.823095823095812</v>
      </c>
      <c r="F55" s="195">
        <v>3.7</v>
      </c>
      <c r="G55" s="195">
        <v>2.2000000000000002</v>
      </c>
      <c r="H55" s="195">
        <f t="shared" si="9"/>
        <v>780</v>
      </c>
      <c r="I55" s="194" t="s">
        <v>127</v>
      </c>
      <c r="J55" s="194">
        <f t="shared" si="11"/>
        <v>1.5132000000000001</v>
      </c>
      <c r="K55" s="230"/>
    </row>
    <row r="56" spans="1:11" ht="15" customHeight="1">
      <c r="A56" s="124"/>
      <c r="B56" s="194">
        <v>780</v>
      </c>
      <c r="C56" s="239" t="s">
        <v>30</v>
      </c>
      <c r="D56" s="196" t="s">
        <v>237</v>
      </c>
      <c r="E56" s="195">
        <f t="shared" si="10"/>
        <v>95.823095823095812</v>
      </c>
      <c r="F56" s="195">
        <v>3.7</v>
      </c>
      <c r="G56" s="195">
        <v>2.2000000000000002</v>
      </c>
      <c r="H56" s="195">
        <f t="shared" si="9"/>
        <v>780</v>
      </c>
      <c r="I56" s="194" t="s">
        <v>127</v>
      </c>
      <c r="J56" s="194">
        <f t="shared" si="11"/>
        <v>1.5132000000000001</v>
      </c>
      <c r="K56" s="230"/>
    </row>
    <row r="57" spans="1:11" ht="15" customHeight="1">
      <c r="A57" s="124"/>
      <c r="B57" s="194">
        <v>780</v>
      </c>
      <c r="C57" s="239" t="s">
        <v>30</v>
      </c>
      <c r="D57" s="196" t="s">
        <v>237</v>
      </c>
      <c r="E57" s="195">
        <f t="shared" si="10"/>
        <v>95.823095823095812</v>
      </c>
      <c r="F57" s="195">
        <v>3.7</v>
      </c>
      <c r="G57" s="195">
        <v>2.2000000000000002</v>
      </c>
      <c r="H57" s="195">
        <f t="shared" si="9"/>
        <v>780</v>
      </c>
      <c r="I57" s="194" t="s">
        <v>127</v>
      </c>
      <c r="J57" s="194">
        <f t="shared" si="11"/>
        <v>1.5132000000000001</v>
      </c>
      <c r="K57" s="230"/>
    </row>
    <row r="58" spans="1:11" ht="15" customHeight="1">
      <c r="A58" s="124"/>
      <c r="B58" s="194">
        <v>780</v>
      </c>
      <c r="C58" s="239" t="s">
        <v>30</v>
      </c>
      <c r="D58" s="196" t="s">
        <v>237</v>
      </c>
      <c r="E58" s="195">
        <f t="shared" si="10"/>
        <v>95.823095823095812</v>
      </c>
      <c r="F58" s="195">
        <v>3.7</v>
      </c>
      <c r="G58" s="195">
        <v>2.2000000000000002</v>
      </c>
      <c r="H58" s="195">
        <f t="shared" si="9"/>
        <v>780</v>
      </c>
      <c r="I58" s="194" t="s">
        <v>127</v>
      </c>
      <c r="J58" s="194">
        <f t="shared" si="11"/>
        <v>1.5132000000000001</v>
      </c>
      <c r="K58" s="230"/>
    </row>
    <row r="59" spans="1:11" ht="15" customHeight="1">
      <c r="A59" s="124"/>
      <c r="B59" s="194">
        <v>780</v>
      </c>
      <c r="C59" s="239" t="s">
        <v>30</v>
      </c>
      <c r="D59" s="196" t="s">
        <v>237</v>
      </c>
      <c r="E59" s="195">
        <f t="shared" si="10"/>
        <v>95.823095823095812</v>
      </c>
      <c r="F59" s="195">
        <v>3.7</v>
      </c>
      <c r="G59" s="195">
        <v>2.2000000000000002</v>
      </c>
      <c r="H59" s="195">
        <f t="shared" si="9"/>
        <v>780</v>
      </c>
      <c r="I59" s="194" t="s">
        <v>127</v>
      </c>
      <c r="J59" s="194">
        <f t="shared" si="11"/>
        <v>1.5132000000000001</v>
      </c>
      <c r="K59" s="230"/>
    </row>
    <row r="60" spans="1:11" ht="15" customHeight="1">
      <c r="A60" s="124"/>
      <c r="B60" s="194">
        <v>780</v>
      </c>
      <c r="C60" s="239" t="s">
        <v>30</v>
      </c>
      <c r="D60" s="196" t="s">
        <v>237</v>
      </c>
      <c r="E60" s="195">
        <f t="shared" si="10"/>
        <v>95.823095823095812</v>
      </c>
      <c r="F60" s="195">
        <v>3.7</v>
      </c>
      <c r="G60" s="195">
        <v>2.2000000000000002</v>
      </c>
      <c r="H60" s="195">
        <f t="shared" si="9"/>
        <v>780</v>
      </c>
      <c r="I60" s="194" t="s">
        <v>127</v>
      </c>
      <c r="J60" s="194">
        <f t="shared" si="11"/>
        <v>1.5132000000000001</v>
      </c>
      <c r="K60" s="230"/>
    </row>
    <row r="61" spans="1:11" ht="15" customHeight="1">
      <c r="A61" s="125"/>
      <c r="B61" s="194">
        <v>780</v>
      </c>
      <c r="C61" s="239" t="s">
        <v>30</v>
      </c>
      <c r="D61" s="196" t="s">
        <v>237</v>
      </c>
      <c r="E61" s="195">
        <f t="shared" si="10"/>
        <v>95.823095823095812</v>
      </c>
      <c r="F61" s="195">
        <v>3.7</v>
      </c>
      <c r="G61" s="195">
        <v>2.2000000000000002</v>
      </c>
      <c r="H61" s="195">
        <f t="shared" si="9"/>
        <v>780</v>
      </c>
      <c r="I61" s="194" t="s">
        <v>127</v>
      </c>
      <c r="J61" s="194">
        <f t="shared" si="11"/>
        <v>1.5132000000000001</v>
      </c>
      <c r="K61" s="230"/>
    </row>
    <row r="62" spans="1:11" ht="15" customHeight="1">
      <c r="A62" s="123" t="s">
        <v>29</v>
      </c>
      <c r="B62" s="194">
        <v>780</v>
      </c>
      <c r="C62" s="239" t="s">
        <v>30</v>
      </c>
      <c r="D62" s="196" t="s">
        <v>237</v>
      </c>
      <c r="E62" s="195">
        <f t="shared" si="10"/>
        <v>95.823095823095812</v>
      </c>
      <c r="F62" s="195">
        <v>3.7</v>
      </c>
      <c r="G62" s="195">
        <v>2.2000000000000002</v>
      </c>
      <c r="H62" s="195">
        <f t="shared" si="9"/>
        <v>780</v>
      </c>
      <c r="I62" s="194" t="s">
        <v>127</v>
      </c>
      <c r="J62" s="194">
        <f t="shared" si="11"/>
        <v>1.5132000000000001</v>
      </c>
      <c r="K62" s="230"/>
    </row>
    <row r="63" spans="1:11" ht="15" customHeight="1">
      <c r="A63" s="124"/>
      <c r="B63" s="194">
        <v>780</v>
      </c>
      <c r="C63" s="239" t="s">
        <v>30</v>
      </c>
      <c r="D63" s="196" t="s">
        <v>237</v>
      </c>
      <c r="E63" s="195">
        <f t="shared" si="10"/>
        <v>95.823095823095812</v>
      </c>
      <c r="F63" s="195">
        <v>3.7</v>
      </c>
      <c r="G63" s="195">
        <v>2.2000000000000002</v>
      </c>
      <c r="H63" s="195">
        <f t="shared" si="9"/>
        <v>780</v>
      </c>
      <c r="I63" s="194" t="s">
        <v>127</v>
      </c>
      <c r="J63" s="194">
        <f t="shared" si="11"/>
        <v>1.5132000000000001</v>
      </c>
      <c r="K63" s="230"/>
    </row>
    <row r="64" spans="1:11" s="1" customFormat="1" ht="15" customHeight="1">
      <c r="A64" s="124"/>
      <c r="B64" s="187"/>
      <c r="C64" s="197"/>
      <c r="D64" s="189"/>
      <c r="E64" s="187"/>
      <c r="F64" s="187"/>
      <c r="G64" s="187"/>
      <c r="H64" s="187"/>
      <c r="I64" s="187"/>
      <c r="J64" s="187"/>
      <c r="K64" s="210"/>
    </row>
    <row r="65" spans="1:11" ht="15" customHeight="1">
      <c r="A65" s="124"/>
      <c r="B65" s="194">
        <v>780</v>
      </c>
      <c r="C65" s="239" t="s">
        <v>30</v>
      </c>
      <c r="D65" s="196" t="s">
        <v>237</v>
      </c>
      <c r="E65" s="195">
        <f t="shared" si="10"/>
        <v>95.823095823095812</v>
      </c>
      <c r="F65" s="195">
        <v>3.7</v>
      </c>
      <c r="G65" s="195">
        <v>2.2000000000000002</v>
      </c>
      <c r="H65" s="195">
        <f t="shared" si="9"/>
        <v>780</v>
      </c>
      <c r="I65" s="194" t="s">
        <v>127</v>
      </c>
      <c r="J65" s="194">
        <f>B65*194/100000</f>
        <v>1.5132000000000001</v>
      </c>
      <c r="K65" s="230" t="s">
        <v>438</v>
      </c>
    </row>
    <row r="66" spans="1:11" ht="15" customHeight="1">
      <c r="A66" s="124"/>
      <c r="B66" s="194">
        <v>780</v>
      </c>
      <c r="C66" s="239" t="s">
        <v>30</v>
      </c>
      <c r="D66" s="196" t="s">
        <v>237</v>
      </c>
      <c r="E66" s="195">
        <f t="shared" si="10"/>
        <v>95.823095823095812</v>
      </c>
      <c r="F66" s="195">
        <v>3.7</v>
      </c>
      <c r="G66" s="195">
        <v>2.2000000000000002</v>
      </c>
      <c r="H66" s="195">
        <f t="shared" si="9"/>
        <v>780</v>
      </c>
      <c r="I66" s="194" t="s">
        <v>127</v>
      </c>
      <c r="J66" s="194">
        <f t="shared" ref="J66:J78" si="12">B66*194/100000</f>
        <v>1.5132000000000001</v>
      </c>
      <c r="K66" s="230"/>
    </row>
    <row r="67" spans="1:11" ht="15" customHeight="1">
      <c r="A67" s="124"/>
      <c r="B67" s="194">
        <v>780</v>
      </c>
      <c r="C67" s="239" t="s">
        <v>30</v>
      </c>
      <c r="D67" s="196" t="s">
        <v>237</v>
      </c>
      <c r="E67" s="195">
        <f t="shared" si="10"/>
        <v>95.823095823095812</v>
      </c>
      <c r="F67" s="195">
        <v>3.7</v>
      </c>
      <c r="G67" s="195">
        <v>2.2000000000000002</v>
      </c>
      <c r="H67" s="195">
        <f t="shared" si="9"/>
        <v>780</v>
      </c>
      <c r="I67" s="194" t="s">
        <v>127</v>
      </c>
      <c r="J67" s="194">
        <f t="shared" si="12"/>
        <v>1.5132000000000001</v>
      </c>
      <c r="K67" s="230"/>
    </row>
    <row r="68" spans="1:11" ht="15" customHeight="1">
      <c r="A68" s="124"/>
      <c r="B68" s="194">
        <v>780</v>
      </c>
      <c r="C68" s="239" t="s">
        <v>30</v>
      </c>
      <c r="D68" s="196" t="s">
        <v>237</v>
      </c>
      <c r="E68" s="195">
        <f t="shared" si="10"/>
        <v>95.823095823095812</v>
      </c>
      <c r="F68" s="195">
        <v>3.7</v>
      </c>
      <c r="G68" s="195">
        <v>2.2000000000000002</v>
      </c>
      <c r="H68" s="195">
        <f t="shared" si="9"/>
        <v>780</v>
      </c>
      <c r="I68" s="194" t="s">
        <v>127</v>
      </c>
      <c r="J68" s="194">
        <f t="shared" si="12"/>
        <v>1.5132000000000001</v>
      </c>
      <c r="K68" s="230"/>
    </row>
    <row r="69" spans="1:11" ht="15" customHeight="1">
      <c r="A69" s="124"/>
      <c r="B69" s="194">
        <v>780</v>
      </c>
      <c r="C69" s="239" t="s">
        <v>30</v>
      </c>
      <c r="D69" s="196" t="s">
        <v>237</v>
      </c>
      <c r="E69" s="195">
        <f t="shared" si="10"/>
        <v>95.823095823095812</v>
      </c>
      <c r="F69" s="195">
        <v>3.7</v>
      </c>
      <c r="G69" s="195">
        <v>2.2000000000000002</v>
      </c>
      <c r="H69" s="195">
        <f t="shared" si="9"/>
        <v>780</v>
      </c>
      <c r="I69" s="194" t="s">
        <v>127</v>
      </c>
      <c r="J69" s="194">
        <f t="shared" si="12"/>
        <v>1.5132000000000001</v>
      </c>
      <c r="K69" s="230"/>
    </row>
    <row r="70" spans="1:11" ht="15" customHeight="1">
      <c r="A70" s="124"/>
      <c r="B70" s="194">
        <v>780</v>
      </c>
      <c r="C70" s="239" t="s">
        <v>30</v>
      </c>
      <c r="D70" s="196" t="s">
        <v>237</v>
      </c>
      <c r="E70" s="195">
        <f t="shared" si="10"/>
        <v>95.823095823095812</v>
      </c>
      <c r="F70" s="195">
        <v>3.7</v>
      </c>
      <c r="G70" s="195">
        <v>2.2000000000000002</v>
      </c>
      <c r="H70" s="195">
        <f t="shared" si="9"/>
        <v>780</v>
      </c>
      <c r="I70" s="194" t="s">
        <v>127</v>
      </c>
      <c r="J70" s="194">
        <f t="shared" si="12"/>
        <v>1.5132000000000001</v>
      </c>
      <c r="K70" s="230"/>
    </row>
    <row r="71" spans="1:11" ht="15" customHeight="1">
      <c r="A71" s="124"/>
      <c r="B71" s="194">
        <v>780</v>
      </c>
      <c r="C71" s="239" t="s">
        <v>30</v>
      </c>
      <c r="D71" s="196" t="s">
        <v>237</v>
      </c>
      <c r="E71" s="195">
        <f t="shared" si="10"/>
        <v>95.823095823095812</v>
      </c>
      <c r="F71" s="195">
        <v>3.7</v>
      </c>
      <c r="G71" s="195">
        <v>2.2000000000000002</v>
      </c>
      <c r="H71" s="195">
        <f t="shared" si="9"/>
        <v>780</v>
      </c>
      <c r="I71" s="194" t="s">
        <v>127</v>
      </c>
      <c r="J71" s="194">
        <f t="shared" si="12"/>
        <v>1.5132000000000001</v>
      </c>
      <c r="K71" s="230"/>
    </row>
    <row r="72" spans="1:11" ht="15" customHeight="1">
      <c r="A72" s="124"/>
      <c r="B72" s="194">
        <v>780</v>
      </c>
      <c r="C72" s="239" t="s">
        <v>30</v>
      </c>
      <c r="D72" s="196" t="s">
        <v>237</v>
      </c>
      <c r="E72" s="195">
        <f t="shared" si="10"/>
        <v>95.823095823095812</v>
      </c>
      <c r="F72" s="195">
        <v>3.7</v>
      </c>
      <c r="G72" s="195">
        <v>2.2000000000000002</v>
      </c>
      <c r="H72" s="195">
        <f t="shared" si="9"/>
        <v>780</v>
      </c>
      <c r="I72" s="194" t="s">
        <v>127</v>
      </c>
      <c r="J72" s="194">
        <f t="shared" si="12"/>
        <v>1.5132000000000001</v>
      </c>
      <c r="K72" s="230"/>
    </row>
    <row r="73" spans="1:11" s="1" customFormat="1" ht="15" customHeight="1">
      <c r="A73" s="124"/>
      <c r="B73" s="194">
        <v>780</v>
      </c>
      <c r="C73" s="239" t="s">
        <v>30</v>
      </c>
      <c r="D73" s="196" t="s">
        <v>237</v>
      </c>
      <c r="E73" s="195">
        <f t="shared" ref="E73:E74" si="13">1/(F73*G73)*B73</f>
        <v>95.823095823095812</v>
      </c>
      <c r="F73" s="195">
        <v>3.7</v>
      </c>
      <c r="G73" s="195">
        <v>2.2000000000000002</v>
      </c>
      <c r="H73" s="195">
        <f t="shared" ref="H73:H74" si="14">G73*F73*E73</f>
        <v>780</v>
      </c>
      <c r="I73" s="194" t="s">
        <v>127</v>
      </c>
      <c r="J73" s="194">
        <f t="shared" si="12"/>
        <v>1.5132000000000001</v>
      </c>
      <c r="K73" s="230"/>
    </row>
    <row r="74" spans="1:11" s="1" customFormat="1" ht="15" customHeight="1">
      <c r="A74" s="124"/>
      <c r="B74" s="194">
        <v>780</v>
      </c>
      <c r="C74" s="239" t="s">
        <v>30</v>
      </c>
      <c r="D74" s="196" t="s">
        <v>237</v>
      </c>
      <c r="E74" s="195">
        <f t="shared" si="13"/>
        <v>95.823095823095812</v>
      </c>
      <c r="F74" s="195">
        <v>3.7</v>
      </c>
      <c r="G74" s="195">
        <v>2.2000000000000002</v>
      </c>
      <c r="H74" s="195">
        <f t="shared" si="14"/>
        <v>780</v>
      </c>
      <c r="I74" s="194" t="s">
        <v>127</v>
      </c>
      <c r="J74" s="194">
        <f t="shared" si="12"/>
        <v>1.5132000000000001</v>
      </c>
      <c r="K74" s="230"/>
    </row>
    <row r="75" spans="1:11" ht="15" customHeight="1">
      <c r="A75" s="124"/>
      <c r="B75" s="194">
        <v>780</v>
      </c>
      <c r="C75" s="239" t="s">
        <v>30</v>
      </c>
      <c r="D75" s="196" t="s">
        <v>237</v>
      </c>
      <c r="E75" s="195">
        <f t="shared" si="10"/>
        <v>95.823095823095812</v>
      </c>
      <c r="F75" s="195">
        <v>3.7</v>
      </c>
      <c r="G75" s="195">
        <v>2.2000000000000002</v>
      </c>
      <c r="H75" s="195">
        <f t="shared" si="9"/>
        <v>780</v>
      </c>
      <c r="I75" s="194" t="s">
        <v>127</v>
      </c>
      <c r="J75" s="194">
        <f t="shared" si="12"/>
        <v>1.5132000000000001</v>
      </c>
      <c r="K75" s="230"/>
    </row>
    <row r="76" spans="1:11" ht="15" customHeight="1">
      <c r="A76" s="124"/>
      <c r="B76" s="194">
        <v>780</v>
      </c>
      <c r="C76" s="239" t="s">
        <v>30</v>
      </c>
      <c r="D76" s="196" t="s">
        <v>237</v>
      </c>
      <c r="E76" s="195">
        <f t="shared" si="10"/>
        <v>95.823095823095812</v>
      </c>
      <c r="F76" s="195">
        <v>3.7</v>
      </c>
      <c r="G76" s="195">
        <v>2.2000000000000002</v>
      </c>
      <c r="H76" s="195">
        <f t="shared" si="9"/>
        <v>780</v>
      </c>
      <c r="I76" s="194" t="s">
        <v>127</v>
      </c>
      <c r="J76" s="194">
        <f t="shared" si="12"/>
        <v>1.5132000000000001</v>
      </c>
      <c r="K76" s="230"/>
    </row>
    <row r="77" spans="1:11" ht="15" customHeight="1">
      <c r="A77" s="124"/>
      <c r="B77" s="194">
        <v>780</v>
      </c>
      <c r="C77" s="239" t="s">
        <v>30</v>
      </c>
      <c r="D77" s="196" t="s">
        <v>237</v>
      </c>
      <c r="E77" s="195">
        <f t="shared" si="10"/>
        <v>95.823095823095812</v>
      </c>
      <c r="F77" s="195">
        <v>3.7</v>
      </c>
      <c r="G77" s="195">
        <v>2.2000000000000002</v>
      </c>
      <c r="H77" s="195">
        <f t="shared" si="9"/>
        <v>780</v>
      </c>
      <c r="I77" s="194" t="s">
        <v>127</v>
      </c>
      <c r="J77" s="194">
        <f t="shared" si="12"/>
        <v>1.5132000000000001</v>
      </c>
      <c r="K77" s="230"/>
    </row>
    <row r="78" spans="1:11" ht="15" customHeight="1">
      <c r="A78" s="125"/>
      <c r="B78" s="194">
        <v>780</v>
      </c>
      <c r="C78" s="239" t="s">
        <v>30</v>
      </c>
      <c r="D78" s="196" t="s">
        <v>237</v>
      </c>
      <c r="E78" s="195">
        <f t="shared" si="10"/>
        <v>95.823095823095812</v>
      </c>
      <c r="F78" s="195">
        <v>3.7</v>
      </c>
      <c r="G78" s="195">
        <v>2.2000000000000002</v>
      </c>
      <c r="H78" s="195">
        <f t="shared" si="9"/>
        <v>780</v>
      </c>
      <c r="I78" s="194" t="s">
        <v>127</v>
      </c>
      <c r="J78" s="194">
        <f t="shared" si="12"/>
        <v>1.5132000000000001</v>
      </c>
      <c r="K78" s="230"/>
    </row>
    <row r="79" spans="1:11" s="1" customFormat="1" ht="15" customHeight="1">
      <c r="A79" s="100"/>
      <c r="B79" s="190"/>
      <c r="C79" s="198"/>
      <c r="D79" s="199"/>
      <c r="E79" s="190"/>
      <c r="F79" s="190"/>
      <c r="G79" s="190"/>
      <c r="H79" s="187"/>
      <c r="I79" s="190"/>
      <c r="J79" s="200"/>
      <c r="K79" s="210"/>
    </row>
    <row r="80" spans="1:11" ht="15" customHeight="1">
      <c r="A80" s="245" t="s">
        <v>32</v>
      </c>
      <c r="B80" s="236"/>
      <c r="C80" s="201"/>
      <c r="D80" s="201"/>
      <c r="E80" s="201"/>
      <c r="F80" s="201"/>
      <c r="G80" s="201"/>
      <c r="H80" s="195"/>
      <c r="I80" s="201"/>
      <c r="J80" s="202"/>
      <c r="K80" s="210"/>
    </row>
    <row r="81" spans="1:11">
      <c r="A81" s="114" t="s">
        <v>98</v>
      </c>
      <c r="B81" s="206">
        <v>50</v>
      </c>
      <c r="C81" s="207" t="s">
        <v>115</v>
      </c>
      <c r="D81" s="37" t="s">
        <v>136</v>
      </c>
      <c r="E81" s="195">
        <v>65</v>
      </c>
      <c r="F81" s="195">
        <v>3</v>
      </c>
      <c r="G81" s="195">
        <v>0.1</v>
      </c>
      <c r="H81" s="195">
        <f t="shared" si="9"/>
        <v>19.500000000000004</v>
      </c>
      <c r="I81" s="187" t="s">
        <v>127</v>
      </c>
      <c r="J81" s="194">
        <f>109700/100000</f>
        <v>1.097</v>
      </c>
      <c r="K81" s="247" t="s">
        <v>439</v>
      </c>
    </row>
    <row r="82" spans="1:11" ht="30">
      <c r="A82" s="112"/>
      <c r="B82" s="206">
        <v>200</v>
      </c>
      <c r="C82" s="207" t="s">
        <v>137</v>
      </c>
      <c r="D82" s="37" t="s">
        <v>138</v>
      </c>
      <c r="E82" s="195">
        <v>65</v>
      </c>
      <c r="F82" s="195">
        <v>3</v>
      </c>
      <c r="G82" s="195">
        <v>0.1</v>
      </c>
      <c r="H82" s="195">
        <f t="shared" ref="H82" si="15">G82*F82*E82</f>
        <v>19.500000000000004</v>
      </c>
      <c r="I82" s="187" t="s">
        <v>127</v>
      </c>
      <c r="J82" s="194">
        <f>109701/100000</f>
        <v>1.09701</v>
      </c>
      <c r="K82" s="247" t="s">
        <v>440</v>
      </c>
    </row>
    <row r="83" spans="1:11" ht="29.25" customHeight="1">
      <c r="A83" s="112"/>
      <c r="B83" s="206">
        <v>100</v>
      </c>
      <c r="C83" s="248" t="s">
        <v>131</v>
      </c>
      <c r="D83" s="37" t="s">
        <v>132</v>
      </c>
      <c r="E83" s="195">
        <v>45</v>
      </c>
      <c r="F83" s="195">
        <v>3.7</v>
      </c>
      <c r="G83" s="195">
        <v>0.15</v>
      </c>
      <c r="H83" s="195">
        <f t="shared" si="9"/>
        <v>24.975000000000001</v>
      </c>
      <c r="I83" s="187" t="s">
        <v>127</v>
      </c>
      <c r="J83" s="194">
        <f>374228/100000</f>
        <v>3.7422800000000001</v>
      </c>
      <c r="K83" s="247" t="s">
        <v>441</v>
      </c>
    </row>
    <row r="84" spans="1:11" ht="15" customHeight="1">
      <c r="A84" s="113"/>
      <c r="B84" s="206">
        <v>14991</v>
      </c>
      <c r="C84" s="248" t="s">
        <v>58</v>
      </c>
      <c r="D84" s="37" t="s">
        <v>54</v>
      </c>
      <c r="E84" s="195">
        <f t="shared" ref="E84" si="16">1/(F84*G84)*B84</f>
        <v>1427.7142857142856</v>
      </c>
      <c r="F84" s="195">
        <v>3.5</v>
      </c>
      <c r="G84" s="195">
        <v>3</v>
      </c>
      <c r="H84" s="195">
        <f>G84*F84*E84</f>
        <v>14990.999999999998</v>
      </c>
      <c r="I84" s="187" t="s">
        <v>127</v>
      </c>
      <c r="J84" s="194">
        <f>B84*194/100000</f>
        <v>29.082540000000002</v>
      </c>
      <c r="K84" s="226" t="s">
        <v>442</v>
      </c>
    </row>
    <row r="85" spans="1:11" s="1" customFormat="1" ht="15" customHeight="1">
      <c r="A85" s="281" t="s">
        <v>114</v>
      </c>
      <c r="B85" s="187">
        <v>10</v>
      </c>
      <c r="C85" s="204" t="s">
        <v>134</v>
      </c>
      <c r="D85" s="205" t="s">
        <v>135</v>
      </c>
      <c r="E85" s="187">
        <v>200</v>
      </c>
      <c r="F85" s="187">
        <v>1</v>
      </c>
      <c r="G85" s="187">
        <v>1</v>
      </c>
      <c r="H85" s="195">
        <f>G85*F85*E85</f>
        <v>200</v>
      </c>
      <c r="I85" s="187" t="s">
        <v>127</v>
      </c>
      <c r="J85" s="187">
        <f>250000/100000</f>
        <v>2.5</v>
      </c>
      <c r="K85" s="247" t="s">
        <v>443</v>
      </c>
    </row>
    <row r="86" spans="1:11" ht="64.5" customHeight="1">
      <c r="A86" s="282"/>
      <c r="B86" s="194">
        <v>170</v>
      </c>
      <c r="C86" s="250" t="s">
        <v>37</v>
      </c>
      <c r="D86" s="209" t="s">
        <v>133</v>
      </c>
      <c r="E86" s="195">
        <v>15</v>
      </c>
      <c r="F86" s="195">
        <v>1.2</v>
      </c>
      <c r="G86" s="195">
        <v>2.2000000000000002</v>
      </c>
      <c r="H86" s="195">
        <f t="shared" si="9"/>
        <v>39.6</v>
      </c>
      <c r="I86" s="187" t="s">
        <v>127</v>
      </c>
      <c r="J86" s="194">
        <f>250000/100000</f>
        <v>2.5</v>
      </c>
      <c r="K86" s="241" t="s">
        <v>444</v>
      </c>
    </row>
    <row r="87" spans="1:11" ht="15" customHeight="1">
      <c r="A87" s="99"/>
      <c r="B87" s="214">
        <f>SUM(B11:B86)</f>
        <v>80800</v>
      </c>
      <c r="C87" s="251"/>
      <c r="D87" s="252"/>
      <c r="E87" s="213"/>
      <c r="F87" s="213"/>
      <c r="G87" s="213"/>
      <c r="H87" s="213"/>
      <c r="I87" s="213"/>
      <c r="J87" s="253">
        <f>SUM(J11:J86)</f>
        <v>174.16978999999995</v>
      </c>
      <c r="K87" s="210"/>
    </row>
    <row r="88" spans="1:11" ht="15" customHeight="1">
      <c r="A88" s="210"/>
      <c r="B88" s="214"/>
      <c r="C88" s="210"/>
      <c r="D88" s="210"/>
      <c r="E88" s="210"/>
      <c r="F88" s="210"/>
      <c r="G88" s="210"/>
      <c r="H88" s="210"/>
      <c r="I88" s="210"/>
      <c r="J88" s="215">
        <f>E4/100000</f>
        <v>174.16888888888889</v>
      </c>
      <c r="K88" s="210"/>
    </row>
    <row r="89" spans="1:11" ht="15" customHeight="1">
      <c r="A89" s="210"/>
      <c r="B89" s="254">
        <f>B3*100</f>
        <v>80800</v>
      </c>
      <c r="C89" s="210"/>
      <c r="D89" s="210"/>
      <c r="E89" s="210"/>
      <c r="F89" s="210"/>
      <c r="G89" s="210"/>
      <c r="H89" s="210"/>
      <c r="I89" s="210"/>
      <c r="J89" s="255">
        <f>E2/100000</f>
        <v>156.75200000000001</v>
      </c>
      <c r="K89" s="210"/>
    </row>
    <row r="90" spans="1:11">
      <c r="A90" s="256" t="s">
        <v>38</v>
      </c>
      <c r="B90" s="210"/>
      <c r="C90" s="257">
        <f>E2/100000</f>
        <v>156.75200000000001</v>
      </c>
      <c r="D90" s="258" t="s">
        <v>39</v>
      </c>
      <c r="E90" s="210"/>
      <c r="F90" s="210"/>
      <c r="G90" s="210"/>
      <c r="H90" s="210"/>
      <c r="I90" s="210"/>
      <c r="J90" s="210"/>
      <c r="K90" s="210"/>
    </row>
    <row r="91" spans="1:11">
      <c r="A91" s="256" t="s">
        <v>40</v>
      </c>
      <c r="B91" s="210"/>
      <c r="C91" s="257">
        <f>C90*(1/9)</f>
        <v>17.416888888888888</v>
      </c>
      <c r="D91" s="258" t="s">
        <v>39</v>
      </c>
      <c r="E91" s="210"/>
      <c r="F91" s="210"/>
      <c r="G91" s="210"/>
      <c r="H91" s="210"/>
      <c r="I91" s="210"/>
      <c r="J91" s="210"/>
      <c r="K91" s="210"/>
    </row>
    <row r="92" spans="1:11">
      <c r="A92" s="258" t="s">
        <v>108</v>
      </c>
      <c r="B92" s="210"/>
      <c r="C92" s="210"/>
      <c r="D92" s="210"/>
      <c r="E92" s="210"/>
      <c r="F92" s="210"/>
      <c r="G92" s="210"/>
      <c r="H92" s="210"/>
      <c r="I92" s="210"/>
      <c r="J92" s="259"/>
      <c r="K92" s="210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27">
    <mergeCell ref="K65:K78"/>
    <mergeCell ref="A85:A86"/>
    <mergeCell ref="K7:K9"/>
    <mergeCell ref="K16:K28"/>
    <mergeCell ref="K30:K43"/>
    <mergeCell ref="K45:K46"/>
    <mergeCell ref="K53:K63"/>
    <mergeCell ref="A81:A84"/>
    <mergeCell ref="J7:J8"/>
    <mergeCell ref="A12:A13"/>
    <mergeCell ref="A14:A15"/>
    <mergeCell ref="A16:A25"/>
    <mergeCell ref="A53:A61"/>
    <mergeCell ref="A62:A78"/>
    <mergeCell ref="A7:A8"/>
    <mergeCell ref="B7:B8"/>
    <mergeCell ref="C7:C8"/>
    <mergeCell ref="D7:D8"/>
    <mergeCell ref="E7:I8"/>
    <mergeCell ref="A26:A46"/>
    <mergeCell ref="A51:A52"/>
    <mergeCell ref="A10:J10"/>
    <mergeCell ref="E2:G2"/>
    <mergeCell ref="E3:G3"/>
    <mergeCell ref="E4:G4"/>
    <mergeCell ref="E5:G5"/>
    <mergeCell ref="E6:G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L70"/>
  <sheetViews>
    <sheetView topLeftCell="A18" workbookViewId="0">
      <selection activeCell="M28" sqref="M28"/>
    </sheetView>
  </sheetViews>
  <sheetFormatPr defaultColWidth="9.140625" defaultRowHeight="15"/>
  <cols>
    <col min="1" max="1" width="19.85546875" style="28" customWidth="1"/>
    <col min="2" max="2" width="9.28515625" style="28" bestFit="1" customWidth="1"/>
    <col min="3" max="3" width="17.7109375" style="28" customWidth="1"/>
    <col min="4" max="4" width="25.85546875" style="28" customWidth="1"/>
    <col min="5" max="5" width="6.28515625" style="28" customWidth="1"/>
    <col min="6" max="6" width="5.140625" style="28" bestFit="1" customWidth="1"/>
    <col min="7" max="7" width="6.140625" style="28" bestFit="1" customWidth="1"/>
    <col min="8" max="8" width="5.85546875" style="28" customWidth="1"/>
    <col min="9" max="9" width="4.5703125" style="28" customWidth="1"/>
    <col min="10" max="10" width="14.42578125" style="28" customWidth="1"/>
    <col min="11" max="11" width="27.42578125" style="28" bestFit="1" customWidth="1"/>
    <col min="12" max="16384" width="9.140625" style="28"/>
  </cols>
  <sheetData>
    <row r="1" spans="1:12">
      <c r="A1" s="10" t="s">
        <v>140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  <c r="L1" s="1"/>
    </row>
    <row r="2" spans="1:12">
      <c r="A2" s="2"/>
      <c r="B2" s="6"/>
      <c r="C2" s="3"/>
      <c r="D2" s="3" t="s">
        <v>0</v>
      </c>
      <c r="E2" s="138">
        <f>B3*194*100</f>
        <v>5451400</v>
      </c>
      <c r="F2" s="138"/>
      <c r="G2" s="138"/>
      <c r="H2" s="52"/>
      <c r="I2" s="52"/>
      <c r="J2" s="9"/>
      <c r="K2" s="1"/>
      <c r="L2" s="1"/>
    </row>
    <row r="3" spans="1:12">
      <c r="A3" s="10" t="s">
        <v>1</v>
      </c>
      <c r="B3" s="6">
        <v>281</v>
      </c>
      <c r="C3" s="3"/>
      <c r="D3" s="3" t="s">
        <v>2</v>
      </c>
      <c r="E3" s="139">
        <f>E2*1/9</f>
        <v>605711.11111111112</v>
      </c>
      <c r="F3" s="139"/>
      <c r="G3" s="139"/>
      <c r="H3" s="53"/>
      <c r="I3" s="53"/>
      <c r="J3" s="21"/>
      <c r="K3" s="1"/>
      <c r="L3" s="1"/>
    </row>
    <row r="4" spans="1:12">
      <c r="A4" s="7"/>
      <c r="B4" s="5"/>
      <c r="C4" s="3"/>
      <c r="D4" s="3" t="s">
        <v>3</v>
      </c>
      <c r="E4" s="139">
        <f>SUM(E2:E3)</f>
        <v>6057111.111111111</v>
      </c>
      <c r="F4" s="139"/>
      <c r="G4" s="139"/>
      <c r="H4" s="53"/>
      <c r="I4" s="53"/>
      <c r="J4" s="9"/>
      <c r="K4" s="1"/>
      <c r="L4" s="1"/>
    </row>
    <row r="5" spans="1:12">
      <c r="A5" s="7"/>
      <c r="B5" s="5"/>
      <c r="C5" s="3"/>
      <c r="D5" s="3" t="s">
        <v>4</v>
      </c>
      <c r="E5" s="139">
        <f>E4*0.06</f>
        <v>363426.66666666663</v>
      </c>
      <c r="F5" s="139"/>
      <c r="G5" s="139"/>
      <c r="H5" s="53"/>
      <c r="I5" s="53"/>
      <c r="J5" s="9"/>
      <c r="K5" s="1"/>
      <c r="L5" s="1"/>
    </row>
    <row r="6" spans="1:12">
      <c r="A6" s="7"/>
      <c r="B6" s="5"/>
      <c r="C6" s="3"/>
      <c r="D6" s="3" t="s">
        <v>5</v>
      </c>
      <c r="E6" s="140">
        <f>SUM(E4:E5)</f>
        <v>6420537.777777778</v>
      </c>
      <c r="F6" s="140"/>
      <c r="G6" s="140"/>
      <c r="H6" s="57"/>
      <c r="I6" s="57"/>
      <c r="J6" s="9"/>
      <c r="K6" s="1"/>
      <c r="L6" s="1"/>
    </row>
    <row r="7" spans="1:12" ht="15" customHeight="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572</v>
      </c>
      <c r="K7" s="162" t="s">
        <v>119</v>
      </c>
      <c r="L7" s="1"/>
    </row>
    <row r="8" spans="1:12">
      <c r="A8" s="117"/>
      <c r="B8" s="118"/>
      <c r="C8" s="120"/>
      <c r="D8" s="122"/>
      <c r="E8" s="129"/>
      <c r="F8" s="130"/>
      <c r="G8" s="130"/>
      <c r="H8" s="130"/>
      <c r="I8" s="131"/>
      <c r="J8" s="149"/>
      <c r="K8" s="162"/>
      <c r="L8" s="1"/>
    </row>
    <row r="9" spans="1:12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111"/>
      <c r="K9" s="162"/>
      <c r="L9" s="1"/>
    </row>
    <row r="10" spans="1:12" ht="17.25" customHeight="1">
      <c r="A10" s="146" t="s">
        <v>11</v>
      </c>
      <c r="B10" s="147"/>
      <c r="C10" s="147"/>
      <c r="D10" s="147"/>
      <c r="E10" s="147"/>
      <c r="F10" s="147"/>
      <c r="G10" s="147"/>
      <c r="H10" s="147"/>
      <c r="I10" s="147"/>
      <c r="J10" s="148"/>
      <c r="K10" s="1"/>
      <c r="L10" s="1"/>
    </row>
    <row r="11" spans="1:12" ht="30">
      <c r="A11" s="29" t="s">
        <v>12</v>
      </c>
      <c r="B11" s="54">
        <v>144</v>
      </c>
      <c r="C11" s="61" t="s">
        <v>109</v>
      </c>
      <c r="D11" s="12" t="s">
        <v>237</v>
      </c>
      <c r="E11" s="17">
        <f>1/(F11*G11)*B11</f>
        <v>24</v>
      </c>
      <c r="F11" s="54">
        <v>3</v>
      </c>
      <c r="G11" s="54">
        <v>2</v>
      </c>
      <c r="H11" s="54">
        <f>G11*F11*E11</f>
        <v>144</v>
      </c>
      <c r="I11" s="18" t="s">
        <v>126</v>
      </c>
      <c r="J11" s="18">
        <f>B11*194/100000</f>
        <v>0.27936</v>
      </c>
      <c r="K11" s="85" t="s">
        <v>445</v>
      </c>
      <c r="L11" s="1"/>
    </row>
    <row r="12" spans="1:12">
      <c r="A12" s="104" t="s">
        <v>13</v>
      </c>
      <c r="B12" s="18"/>
      <c r="C12" s="11"/>
      <c r="D12" s="19"/>
      <c r="E12" s="17"/>
      <c r="F12" s="54"/>
      <c r="G12" s="17"/>
      <c r="H12" s="54">
        <f t="shared" ref="H12:H26" si="0">G12*F12*E12</f>
        <v>0</v>
      </c>
      <c r="I12" s="17"/>
      <c r="J12" s="18"/>
      <c r="K12" s="16"/>
      <c r="L12" s="1"/>
    </row>
    <row r="13" spans="1:12">
      <c r="A13" s="106"/>
      <c r="B13" s="18">
        <v>10</v>
      </c>
      <c r="C13" s="12" t="s">
        <v>130</v>
      </c>
      <c r="D13" s="16"/>
      <c r="E13" s="17">
        <v>3</v>
      </c>
      <c r="F13" s="54">
        <v>3</v>
      </c>
      <c r="G13" s="17">
        <v>2</v>
      </c>
      <c r="H13" s="54">
        <f t="shared" si="0"/>
        <v>18</v>
      </c>
      <c r="I13" s="18" t="s">
        <v>127</v>
      </c>
      <c r="J13" s="18">
        <f>55820/100000</f>
        <v>0.55820000000000003</v>
      </c>
      <c r="K13" s="85" t="s">
        <v>446</v>
      </c>
      <c r="L13" s="1"/>
    </row>
    <row r="14" spans="1:12">
      <c r="A14" s="116" t="s">
        <v>15</v>
      </c>
      <c r="B14" s="18">
        <v>300</v>
      </c>
      <c r="C14" s="11" t="s">
        <v>16</v>
      </c>
      <c r="D14" s="16" t="s">
        <v>120</v>
      </c>
      <c r="E14" s="17">
        <f t="shared" ref="E14" si="1">1/(F14*G14)*B14</f>
        <v>3333.333333333333</v>
      </c>
      <c r="F14" s="54">
        <v>0.3</v>
      </c>
      <c r="G14" s="17">
        <v>0.3</v>
      </c>
      <c r="H14" s="54">
        <f t="shared" si="0"/>
        <v>299.99999999999994</v>
      </c>
      <c r="I14" s="18" t="s">
        <v>127</v>
      </c>
      <c r="J14" s="18">
        <f>B14*194/100000</f>
        <v>0.58199999999999996</v>
      </c>
      <c r="K14" s="86" t="s">
        <v>447</v>
      </c>
      <c r="L14" s="1"/>
    </row>
    <row r="15" spans="1:12">
      <c r="A15" s="116"/>
      <c r="B15" s="18">
        <v>300</v>
      </c>
      <c r="C15" s="12" t="s">
        <v>17</v>
      </c>
      <c r="D15" s="16" t="s">
        <v>141</v>
      </c>
      <c r="E15" s="17">
        <f t="shared" ref="E15" si="2">1/(F15*G15)*B15</f>
        <v>3333.333333333333</v>
      </c>
      <c r="F15" s="54">
        <v>0.3</v>
      </c>
      <c r="G15" s="17">
        <v>0.3</v>
      </c>
      <c r="H15" s="54">
        <f t="shared" ref="H15" si="3">G15*F15*E15</f>
        <v>299.99999999999994</v>
      </c>
      <c r="I15" s="18" t="s">
        <v>127</v>
      </c>
      <c r="J15" s="90">
        <f t="shared" ref="J15:J26" si="4">B15*194/100000</f>
        <v>0.58199999999999996</v>
      </c>
      <c r="K15" s="86" t="s">
        <v>448</v>
      </c>
      <c r="L15" s="1"/>
    </row>
    <row r="16" spans="1:12" ht="30">
      <c r="A16" s="116"/>
      <c r="B16" s="18">
        <v>300</v>
      </c>
      <c r="C16" s="11" t="s">
        <v>18</v>
      </c>
      <c r="D16" s="16" t="s">
        <v>566</v>
      </c>
      <c r="E16" s="17">
        <f>1/(F16*G16)*B16</f>
        <v>300</v>
      </c>
      <c r="F16" s="54">
        <v>1</v>
      </c>
      <c r="G16" s="17">
        <v>1</v>
      </c>
      <c r="H16" s="54">
        <f t="shared" si="0"/>
        <v>300</v>
      </c>
      <c r="I16" s="18" t="s">
        <v>127</v>
      </c>
      <c r="J16" s="90">
        <f t="shared" si="4"/>
        <v>0.58199999999999996</v>
      </c>
      <c r="K16" s="88" t="s">
        <v>449</v>
      </c>
      <c r="L16" s="1"/>
    </row>
    <row r="17" spans="1:12" ht="18.75" customHeight="1">
      <c r="A17" s="166" t="s">
        <v>19</v>
      </c>
      <c r="B17" s="18">
        <v>1500</v>
      </c>
      <c r="C17" s="14" t="s">
        <v>20</v>
      </c>
      <c r="D17" s="12" t="s">
        <v>335</v>
      </c>
      <c r="E17" s="17">
        <f t="shared" ref="E17:E26" si="5">1/(F17*G17)*B17</f>
        <v>1000</v>
      </c>
      <c r="F17" s="54">
        <v>1.5</v>
      </c>
      <c r="G17" s="17">
        <v>1</v>
      </c>
      <c r="H17" s="54">
        <f t="shared" si="0"/>
        <v>1500</v>
      </c>
      <c r="I17" s="18" t="s">
        <v>127</v>
      </c>
      <c r="J17" s="90">
        <f t="shared" si="4"/>
        <v>2.91</v>
      </c>
      <c r="K17" s="135" t="s">
        <v>450</v>
      </c>
      <c r="L17" s="1"/>
    </row>
    <row r="18" spans="1:12">
      <c r="A18" s="167"/>
      <c r="B18" s="18">
        <v>1500</v>
      </c>
      <c r="C18" s="14" t="s">
        <v>20</v>
      </c>
      <c r="D18" s="12" t="s">
        <v>336</v>
      </c>
      <c r="E18" s="17">
        <f t="shared" si="5"/>
        <v>1000</v>
      </c>
      <c r="F18" s="17">
        <v>1.5</v>
      </c>
      <c r="G18" s="17">
        <v>1</v>
      </c>
      <c r="H18" s="54">
        <f t="shared" si="0"/>
        <v>1500</v>
      </c>
      <c r="I18" s="18" t="s">
        <v>127</v>
      </c>
      <c r="J18" s="90">
        <f t="shared" si="4"/>
        <v>2.91</v>
      </c>
      <c r="K18" s="136"/>
      <c r="L18" s="1"/>
    </row>
    <row r="19" spans="1:12">
      <c r="A19" s="167"/>
      <c r="B19" s="18">
        <v>1500</v>
      </c>
      <c r="C19" s="14" t="s">
        <v>20</v>
      </c>
      <c r="D19" s="12" t="s">
        <v>337</v>
      </c>
      <c r="E19" s="17">
        <f t="shared" si="5"/>
        <v>1000</v>
      </c>
      <c r="F19" s="17">
        <v>1.5</v>
      </c>
      <c r="G19" s="17">
        <v>1</v>
      </c>
      <c r="H19" s="54">
        <f t="shared" si="0"/>
        <v>1500</v>
      </c>
      <c r="I19" s="18" t="s">
        <v>127</v>
      </c>
      <c r="J19" s="90">
        <f t="shared" si="4"/>
        <v>2.91</v>
      </c>
      <c r="K19" s="136"/>
      <c r="L19" s="1"/>
    </row>
    <row r="20" spans="1:12" ht="30">
      <c r="A20" s="167"/>
      <c r="B20" s="18">
        <v>1500</v>
      </c>
      <c r="C20" s="14" t="s">
        <v>20</v>
      </c>
      <c r="D20" s="12" t="s">
        <v>338</v>
      </c>
      <c r="E20" s="17">
        <f t="shared" si="5"/>
        <v>1000</v>
      </c>
      <c r="F20" s="17">
        <v>1.5</v>
      </c>
      <c r="G20" s="17">
        <v>1</v>
      </c>
      <c r="H20" s="54">
        <f t="shared" si="0"/>
        <v>1500</v>
      </c>
      <c r="I20" s="18" t="s">
        <v>127</v>
      </c>
      <c r="J20" s="90">
        <f t="shared" si="4"/>
        <v>2.91</v>
      </c>
      <c r="K20" s="136"/>
      <c r="L20" s="1"/>
    </row>
    <row r="21" spans="1:12" ht="30">
      <c r="A21" s="167"/>
      <c r="B21" s="18">
        <v>1500</v>
      </c>
      <c r="C21" s="14" t="s">
        <v>20</v>
      </c>
      <c r="D21" s="12" t="s">
        <v>339</v>
      </c>
      <c r="E21" s="17">
        <f t="shared" si="5"/>
        <v>1000</v>
      </c>
      <c r="F21" s="17">
        <v>1.5</v>
      </c>
      <c r="G21" s="17">
        <v>1</v>
      </c>
      <c r="H21" s="54">
        <f t="shared" si="0"/>
        <v>1500</v>
      </c>
      <c r="I21" s="18" t="s">
        <v>127</v>
      </c>
      <c r="J21" s="90">
        <f t="shared" si="4"/>
        <v>2.91</v>
      </c>
      <c r="K21" s="136"/>
      <c r="L21" s="1"/>
    </row>
    <row r="22" spans="1:12">
      <c r="A22" s="167"/>
      <c r="B22" s="18">
        <v>1500</v>
      </c>
      <c r="C22" s="14" t="s">
        <v>20</v>
      </c>
      <c r="D22" s="12" t="s">
        <v>340</v>
      </c>
      <c r="E22" s="17">
        <f t="shared" si="5"/>
        <v>1000</v>
      </c>
      <c r="F22" s="17">
        <v>1.5</v>
      </c>
      <c r="G22" s="17">
        <v>1</v>
      </c>
      <c r="H22" s="54">
        <f t="shared" si="0"/>
        <v>1500</v>
      </c>
      <c r="I22" s="18" t="s">
        <v>127</v>
      </c>
      <c r="J22" s="90">
        <f t="shared" si="4"/>
        <v>2.91</v>
      </c>
      <c r="K22" s="136"/>
      <c r="L22" s="1"/>
    </row>
    <row r="23" spans="1:12" ht="30">
      <c r="A23" s="167"/>
      <c r="B23" s="18">
        <v>1500</v>
      </c>
      <c r="C23" s="14" t="s">
        <v>20</v>
      </c>
      <c r="D23" s="12" t="s">
        <v>341</v>
      </c>
      <c r="E23" s="17">
        <f t="shared" si="5"/>
        <v>1000</v>
      </c>
      <c r="F23" s="17">
        <v>1.5</v>
      </c>
      <c r="G23" s="17">
        <v>1</v>
      </c>
      <c r="H23" s="54">
        <f t="shared" si="0"/>
        <v>1500</v>
      </c>
      <c r="I23" s="18" t="s">
        <v>127</v>
      </c>
      <c r="J23" s="90">
        <f t="shared" si="4"/>
        <v>2.91</v>
      </c>
      <c r="K23" s="136"/>
      <c r="L23" s="1"/>
    </row>
    <row r="24" spans="1:12">
      <c r="A24" s="167"/>
      <c r="B24" s="18">
        <v>1500</v>
      </c>
      <c r="C24" s="14" t="s">
        <v>20</v>
      </c>
      <c r="D24" s="12" t="s">
        <v>342</v>
      </c>
      <c r="E24" s="17">
        <f t="shared" si="5"/>
        <v>1000</v>
      </c>
      <c r="F24" s="17">
        <v>1.5</v>
      </c>
      <c r="G24" s="17">
        <v>1</v>
      </c>
      <c r="H24" s="54">
        <f t="shared" si="0"/>
        <v>1500</v>
      </c>
      <c r="I24" s="18" t="s">
        <v>127</v>
      </c>
      <c r="J24" s="90">
        <f t="shared" si="4"/>
        <v>2.91</v>
      </c>
      <c r="K24" s="136"/>
      <c r="L24" s="1"/>
    </row>
    <row r="25" spans="1:12">
      <c r="A25" s="167"/>
      <c r="B25" s="18">
        <v>1500</v>
      </c>
      <c r="C25" s="14" t="s">
        <v>20</v>
      </c>
      <c r="D25" s="12" t="s">
        <v>342</v>
      </c>
      <c r="E25" s="17">
        <f t="shared" si="5"/>
        <v>1000</v>
      </c>
      <c r="F25" s="17">
        <v>1.5</v>
      </c>
      <c r="G25" s="17">
        <v>1</v>
      </c>
      <c r="H25" s="54">
        <f t="shared" si="0"/>
        <v>1500</v>
      </c>
      <c r="I25" s="18" t="s">
        <v>127</v>
      </c>
      <c r="J25" s="90">
        <f t="shared" si="4"/>
        <v>2.91</v>
      </c>
      <c r="K25" s="136"/>
      <c r="L25" s="1"/>
    </row>
    <row r="26" spans="1:12">
      <c r="A26" s="167"/>
      <c r="B26" s="18">
        <v>1500</v>
      </c>
      <c r="C26" s="14" t="s">
        <v>20</v>
      </c>
      <c r="D26" s="12" t="s">
        <v>342</v>
      </c>
      <c r="E26" s="17">
        <f t="shared" si="5"/>
        <v>1000</v>
      </c>
      <c r="F26" s="17">
        <v>1.5</v>
      </c>
      <c r="G26" s="17">
        <v>1</v>
      </c>
      <c r="H26" s="54">
        <f t="shared" si="0"/>
        <v>1500</v>
      </c>
      <c r="I26" s="18" t="s">
        <v>127</v>
      </c>
      <c r="J26" s="90">
        <f t="shared" si="4"/>
        <v>2.91</v>
      </c>
      <c r="K26" s="137"/>
      <c r="L26" s="1"/>
    </row>
    <row r="27" spans="1:12">
      <c r="A27" s="283"/>
      <c r="B27" s="190"/>
      <c r="C27" s="191"/>
      <c r="D27" s="199"/>
      <c r="E27" s="190"/>
      <c r="F27" s="190"/>
      <c r="G27" s="190"/>
      <c r="H27" s="190"/>
      <c r="I27" s="190"/>
      <c r="J27" s="190"/>
      <c r="K27" s="210"/>
      <c r="L27" s="1"/>
    </row>
    <row r="28" spans="1:12" ht="27" customHeight="1">
      <c r="A28" s="201" t="s">
        <v>21</v>
      </c>
      <c r="B28" s="236"/>
      <c r="C28" s="201"/>
      <c r="D28" s="201"/>
      <c r="E28" s="201"/>
      <c r="F28" s="201"/>
      <c r="G28" s="201"/>
      <c r="H28" s="201"/>
      <c r="I28" s="201"/>
      <c r="J28" s="201"/>
      <c r="K28" s="210"/>
      <c r="L28" s="1"/>
    </row>
    <row r="29" spans="1:12">
      <c r="A29" s="236"/>
      <c r="B29" s="236"/>
      <c r="C29" s="236"/>
      <c r="D29" s="236"/>
      <c r="E29" s="236"/>
      <c r="F29" s="236"/>
      <c r="G29" s="236"/>
      <c r="H29" s="236"/>
      <c r="I29" s="236"/>
      <c r="J29" s="236"/>
      <c r="K29" s="210"/>
      <c r="L29" s="1"/>
    </row>
    <row r="30" spans="1:12" ht="30">
      <c r="A30" s="96" t="s">
        <v>22</v>
      </c>
      <c r="B30" s="194">
        <v>500</v>
      </c>
      <c r="C30" s="239" t="s">
        <v>23</v>
      </c>
      <c r="D30" s="37" t="s">
        <v>144</v>
      </c>
      <c r="E30" s="195">
        <f>1/(F30*G30)*B30</f>
        <v>25</v>
      </c>
      <c r="F30" s="195">
        <v>20</v>
      </c>
      <c r="G30" s="195">
        <v>1</v>
      </c>
      <c r="H30" s="195">
        <f>G30*F30*E30</f>
        <v>500</v>
      </c>
      <c r="I30" s="194" t="s">
        <v>127</v>
      </c>
      <c r="J30" s="194">
        <f>B30*194/100000</f>
        <v>0.97</v>
      </c>
      <c r="K30" s="220" t="s">
        <v>451</v>
      </c>
      <c r="L30" s="1"/>
    </row>
    <row r="31" spans="1:12">
      <c r="A31" s="115" t="s">
        <v>28</v>
      </c>
      <c r="B31" s="194">
        <v>5</v>
      </c>
      <c r="C31" s="196" t="s">
        <v>66</v>
      </c>
      <c r="D31" s="37" t="s">
        <v>149</v>
      </c>
      <c r="E31" s="195">
        <v>3.05</v>
      </c>
      <c r="F31" s="195">
        <v>2</v>
      </c>
      <c r="G31" s="195">
        <v>2.2000000000000002</v>
      </c>
      <c r="H31" s="195">
        <f t="shared" ref="H31:H49" si="6">G31*F31*E31</f>
        <v>13.42</v>
      </c>
      <c r="I31" s="194" t="s">
        <v>577</v>
      </c>
      <c r="J31" s="194">
        <f>45970/100000</f>
        <v>0.4597</v>
      </c>
      <c r="K31" s="226" t="s">
        <v>452</v>
      </c>
      <c r="L31" s="1"/>
    </row>
    <row r="32" spans="1:12">
      <c r="A32" s="115"/>
      <c r="B32" s="194">
        <v>10</v>
      </c>
      <c r="C32" s="35" t="s">
        <v>67</v>
      </c>
      <c r="D32" s="37" t="s">
        <v>116</v>
      </c>
      <c r="E32" s="195">
        <v>3.05</v>
      </c>
      <c r="F32" s="195">
        <v>2</v>
      </c>
      <c r="G32" s="195">
        <v>2.2000000000000002</v>
      </c>
      <c r="H32" s="195">
        <f t="shared" si="6"/>
        <v>13.42</v>
      </c>
      <c r="I32" s="194" t="s">
        <v>577</v>
      </c>
      <c r="J32" s="194">
        <f>121940/100000</f>
        <v>1.2194</v>
      </c>
      <c r="K32" s="226" t="s">
        <v>453</v>
      </c>
      <c r="L32" s="1"/>
    </row>
    <row r="33" spans="1:12" ht="15" customHeight="1">
      <c r="A33" s="123" t="s">
        <v>29</v>
      </c>
      <c r="B33" s="194">
        <v>780</v>
      </c>
      <c r="C33" s="209" t="s">
        <v>30</v>
      </c>
      <c r="D33" s="196" t="s">
        <v>237</v>
      </c>
      <c r="E33" s="195">
        <f t="shared" ref="E33:E41" si="7">1/(F33*G33)*B33</f>
        <v>52</v>
      </c>
      <c r="F33" s="195">
        <v>5</v>
      </c>
      <c r="G33" s="195">
        <v>3</v>
      </c>
      <c r="H33" s="195">
        <f t="shared" si="6"/>
        <v>780</v>
      </c>
      <c r="I33" s="194" t="s">
        <v>127</v>
      </c>
      <c r="J33" s="194">
        <f>B33*194/100000</f>
        <v>1.5132000000000001</v>
      </c>
      <c r="K33" s="242" t="s">
        <v>454</v>
      </c>
      <c r="L33" s="1"/>
    </row>
    <row r="34" spans="1:12" ht="15" customHeight="1">
      <c r="A34" s="124"/>
      <c r="B34" s="194">
        <v>780</v>
      </c>
      <c r="C34" s="239" t="s">
        <v>30</v>
      </c>
      <c r="D34" s="196" t="s">
        <v>237</v>
      </c>
      <c r="E34" s="195">
        <f t="shared" si="7"/>
        <v>95.823095823095812</v>
      </c>
      <c r="F34" s="195">
        <v>3.7</v>
      </c>
      <c r="G34" s="195">
        <v>2.2000000000000002</v>
      </c>
      <c r="H34" s="195">
        <f t="shared" si="6"/>
        <v>780</v>
      </c>
      <c r="I34" s="194" t="s">
        <v>127</v>
      </c>
      <c r="J34" s="194">
        <f t="shared" ref="J34:J41" si="8">B34*194/100000</f>
        <v>1.5132000000000001</v>
      </c>
      <c r="K34" s="243"/>
      <c r="L34" s="1"/>
    </row>
    <row r="35" spans="1:12" ht="15" customHeight="1">
      <c r="A35" s="124"/>
      <c r="B35" s="194">
        <v>780</v>
      </c>
      <c r="C35" s="239" t="s">
        <v>30</v>
      </c>
      <c r="D35" s="196" t="s">
        <v>237</v>
      </c>
      <c r="E35" s="195">
        <f t="shared" si="7"/>
        <v>95.823095823095812</v>
      </c>
      <c r="F35" s="195">
        <v>3.7</v>
      </c>
      <c r="G35" s="195">
        <v>2.2000000000000002</v>
      </c>
      <c r="H35" s="195">
        <f t="shared" si="6"/>
        <v>780</v>
      </c>
      <c r="I35" s="194" t="s">
        <v>127</v>
      </c>
      <c r="J35" s="194">
        <f t="shared" si="8"/>
        <v>1.5132000000000001</v>
      </c>
      <c r="K35" s="243"/>
      <c r="L35" s="1"/>
    </row>
    <row r="36" spans="1:12" ht="15" customHeight="1">
      <c r="A36" s="124"/>
      <c r="B36" s="194">
        <v>780</v>
      </c>
      <c r="C36" s="239" t="s">
        <v>30</v>
      </c>
      <c r="D36" s="196" t="s">
        <v>237</v>
      </c>
      <c r="E36" s="195">
        <f t="shared" si="7"/>
        <v>95.823095823095812</v>
      </c>
      <c r="F36" s="195">
        <v>3.7</v>
      </c>
      <c r="G36" s="195">
        <v>2.2000000000000002</v>
      </c>
      <c r="H36" s="195">
        <f t="shared" si="6"/>
        <v>780</v>
      </c>
      <c r="I36" s="194" t="s">
        <v>127</v>
      </c>
      <c r="J36" s="194">
        <f t="shared" si="8"/>
        <v>1.5132000000000001</v>
      </c>
      <c r="K36" s="243"/>
      <c r="L36" s="1"/>
    </row>
    <row r="37" spans="1:12" ht="15" customHeight="1">
      <c r="A37" s="124"/>
      <c r="B37" s="194">
        <v>780</v>
      </c>
      <c r="C37" s="239" t="s">
        <v>30</v>
      </c>
      <c r="D37" s="196" t="s">
        <v>237</v>
      </c>
      <c r="E37" s="195">
        <f t="shared" si="7"/>
        <v>95.823095823095812</v>
      </c>
      <c r="F37" s="195">
        <v>3.7</v>
      </c>
      <c r="G37" s="195">
        <v>2.2000000000000002</v>
      </c>
      <c r="H37" s="195">
        <f t="shared" si="6"/>
        <v>780</v>
      </c>
      <c r="I37" s="194" t="s">
        <v>127</v>
      </c>
      <c r="J37" s="194">
        <f t="shared" si="8"/>
        <v>1.5132000000000001</v>
      </c>
      <c r="K37" s="243"/>
      <c r="L37" s="1"/>
    </row>
    <row r="38" spans="1:12" ht="15" customHeight="1">
      <c r="A38" s="124"/>
      <c r="B38" s="194">
        <v>780</v>
      </c>
      <c r="C38" s="239" t="s">
        <v>30</v>
      </c>
      <c r="D38" s="196" t="s">
        <v>237</v>
      </c>
      <c r="E38" s="195">
        <f t="shared" si="7"/>
        <v>95.823095823095812</v>
      </c>
      <c r="F38" s="195">
        <v>3.7</v>
      </c>
      <c r="G38" s="195">
        <v>2.2000000000000002</v>
      </c>
      <c r="H38" s="195">
        <f t="shared" si="6"/>
        <v>780</v>
      </c>
      <c r="I38" s="194" t="s">
        <v>127</v>
      </c>
      <c r="J38" s="194">
        <f t="shared" si="8"/>
        <v>1.5132000000000001</v>
      </c>
      <c r="K38" s="243"/>
      <c r="L38" s="1"/>
    </row>
    <row r="39" spans="1:12" ht="15" customHeight="1">
      <c r="A39" s="124"/>
      <c r="B39" s="194">
        <v>780</v>
      </c>
      <c r="C39" s="239" t="s">
        <v>30</v>
      </c>
      <c r="D39" s="196" t="s">
        <v>237</v>
      </c>
      <c r="E39" s="195">
        <f t="shared" si="7"/>
        <v>95.823095823095812</v>
      </c>
      <c r="F39" s="195">
        <v>3.7</v>
      </c>
      <c r="G39" s="195">
        <v>2.2000000000000002</v>
      </c>
      <c r="H39" s="195">
        <f t="shared" si="6"/>
        <v>780</v>
      </c>
      <c r="I39" s="194" t="s">
        <v>127</v>
      </c>
      <c r="J39" s="194">
        <f t="shared" si="8"/>
        <v>1.5132000000000001</v>
      </c>
      <c r="K39" s="243"/>
      <c r="L39" s="1"/>
    </row>
    <row r="40" spans="1:12" ht="15" customHeight="1">
      <c r="A40" s="124"/>
      <c r="B40" s="194">
        <v>780</v>
      </c>
      <c r="C40" s="239" t="s">
        <v>30</v>
      </c>
      <c r="D40" s="196" t="s">
        <v>237</v>
      </c>
      <c r="E40" s="195">
        <f t="shared" si="7"/>
        <v>95.823095823095812</v>
      </c>
      <c r="F40" s="195">
        <v>3.7</v>
      </c>
      <c r="G40" s="195">
        <v>2.2000000000000002</v>
      </c>
      <c r="H40" s="195">
        <f t="shared" si="6"/>
        <v>780</v>
      </c>
      <c r="I40" s="194" t="s">
        <v>127</v>
      </c>
      <c r="J40" s="194">
        <f t="shared" si="8"/>
        <v>1.5132000000000001</v>
      </c>
      <c r="K40" s="243"/>
      <c r="L40" s="1"/>
    </row>
    <row r="41" spans="1:12" ht="15" customHeight="1">
      <c r="A41" s="125"/>
      <c r="B41" s="194">
        <v>780</v>
      </c>
      <c r="C41" s="239" t="s">
        <v>30</v>
      </c>
      <c r="D41" s="196" t="s">
        <v>237</v>
      </c>
      <c r="E41" s="195">
        <f t="shared" si="7"/>
        <v>95.823095823095812</v>
      </c>
      <c r="F41" s="195">
        <v>3.7</v>
      </c>
      <c r="G41" s="195">
        <v>2.2000000000000002</v>
      </c>
      <c r="H41" s="195">
        <f t="shared" si="6"/>
        <v>780</v>
      </c>
      <c r="I41" s="194" t="s">
        <v>127</v>
      </c>
      <c r="J41" s="194">
        <f t="shared" si="8"/>
        <v>1.5132000000000001</v>
      </c>
      <c r="K41" s="244"/>
      <c r="L41" s="1"/>
    </row>
    <row r="42" spans="1:12" ht="15" customHeight="1">
      <c r="A42" s="100"/>
      <c r="B42" s="263"/>
      <c r="C42" s="284"/>
      <c r="D42" s="285"/>
      <c r="E42" s="265"/>
      <c r="F42" s="265"/>
      <c r="G42" s="265"/>
      <c r="H42" s="195"/>
      <c r="I42" s="263"/>
      <c r="J42" s="286"/>
      <c r="K42" s="210"/>
      <c r="L42" s="1"/>
    </row>
    <row r="43" spans="1:12" ht="15" customHeight="1">
      <c r="A43" s="245" t="s">
        <v>32</v>
      </c>
      <c r="B43" s="236"/>
      <c r="C43" s="201"/>
      <c r="D43" s="201"/>
      <c r="E43" s="201"/>
      <c r="F43" s="201"/>
      <c r="G43" s="201"/>
      <c r="H43" s="195"/>
      <c r="I43" s="201"/>
      <c r="J43" s="202"/>
      <c r="K43" s="210"/>
      <c r="L43" s="1"/>
    </row>
    <row r="44" spans="1:12" ht="15" customHeight="1">
      <c r="A44" s="97" t="s">
        <v>96</v>
      </c>
      <c r="B44" s="187">
        <v>10</v>
      </c>
      <c r="C44" s="204" t="s">
        <v>146</v>
      </c>
      <c r="D44" s="205" t="s">
        <v>144</v>
      </c>
      <c r="E44" s="187">
        <v>200</v>
      </c>
      <c r="F44" s="187">
        <v>1</v>
      </c>
      <c r="G44" s="187">
        <v>1</v>
      </c>
      <c r="H44" s="195">
        <f t="shared" si="6"/>
        <v>200</v>
      </c>
      <c r="I44" s="187" t="s">
        <v>127</v>
      </c>
      <c r="J44" s="187">
        <f>51940/100000</f>
        <v>0.51939999999999997</v>
      </c>
      <c r="K44" s="247" t="s">
        <v>455</v>
      </c>
      <c r="L44" s="1"/>
    </row>
    <row r="45" spans="1:12" ht="15" customHeight="1">
      <c r="A45" s="287" t="s">
        <v>142</v>
      </c>
      <c r="B45" s="206">
        <v>2200</v>
      </c>
      <c r="C45" s="207" t="s">
        <v>143</v>
      </c>
      <c r="D45" s="37" t="s">
        <v>144</v>
      </c>
      <c r="E45" s="195">
        <f>1/(F45*G45)*B45</f>
        <v>36.666666666666664</v>
      </c>
      <c r="F45" s="195">
        <v>30</v>
      </c>
      <c r="G45" s="195">
        <v>2</v>
      </c>
      <c r="H45" s="195">
        <f>G45*F45*E45</f>
        <v>2200</v>
      </c>
      <c r="I45" s="187" t="s">
        <v>127</v>
      </c>
      <c r="J45" s="194">
        <f>B45*194/100000</f>
        <v>4.2679999999999998</v>
      </c>
      <c r="K45" s="247" t="s">
        <v>456</v>
      </c>
      <c r="L45" s="1"/>
    </row>
    <row r="46" spans="1:12" ht="15" customHeight="1">
      <c r="A46" s="114" t="s">
        <v>98</v>
      </c>
      <c r="B46" s="206">
        <v>500</v>
      </c>
      <c r="C46" s="207" t="s">
        <v>145</v>
      </c>
      <c r="D46" s="37" t="s">
        <v>144</v>
      </c>
      <c r="E46" s="195">
        <f>1/(F46*G46)*B46</f>
        <v>47.619047619047613</v>
      </c>
      <c r="F46" s="195">
        <v>3.5</v>
      </c>
      <c r="G46" s="195">
        <v>3</v>
      </c>
      <c r="H46" s="195">
        <f>G46*F46*E46</f>
        <v>499.99999999999994</v>
      </c>
      <c r="I46" s="187" t="s">
        <v>127</v>
      </c>
      <c r="J46" s="194">
        <f>B46*194/100000</f>
        <v>0.97</v>
      </c>
      <c r="K46" s="226" t="s">
        <v>457</v>
      </c>
      <c r="L46" s="1"/>
    </row>
    <row r="47" spans="1:12" ht="15" customHeight="1">
      <c r="A47" s="112"/>
      <c r="B47" s="206">
        <v>20</v>
      </c>
      <c r="C47" s="248" t="s">
        <v>115</v>
      </c>
      <c r="D47" s="37" t="s">
        <v>147</v>
      </c>
      <c r="E47" s="195">
        <v>20</v>
      </c>
      <c r="F47" s="195">
        <v>3.5</v>
      </c>
      <c r="G47" s="195">
        <v>0.1</v>
      </c>
      <c r="H47" s="195">
        <f t="shared" si="6"/>
        <v>7.0000000000000009</v>
      </c>
      <c r="I47" s="187" t="s">
        <v>127</v>
      </c>
      <c r="J47" s="194">
        <f>50000/100000</f>
        <v>0.5</v>
      </c>
      <c r="K47" s="226" t="s">
        <v>458</v>
      </c>
      <c r="L47" s="1"/>
    </row>
    <row r="48" spans="1:12" ht="15" customHeight="1">
      <c r="A48" s="113"/>
      <c r="B48" s="206">
        <v>1681</v>
      </c>
      <c r="C48" s="248" t="s">
        <v>58</v>
      </c>
      <c r="D48" s="37" t="s">
        <v>136</v>
      </c>
      <c r="E48" s="195">
        <f>1/(F48*G48)*B48</f>
        <v>160.09523809523807</v>
      </c>
      <c r="F48" s="195">
        <v>3.5</v>
      </c>
      <c r="G48" s="195">
        <v>3</v>
      </c>
      <c r="H48" s="195">
        <f>G48*F48*E48</f>
        <v>1680.9999999999998</v>
      </c>
      <c r="I48" s="187" t="s">
        <v>127</v>
      </c>
      <c r="J48" s="194">
        <f>B48*194/100000</f>
        <v>3.2611400000000001</v>
      </c>
      <c r="K48" s="247" t="s">
        <v>459</v>
      </c>
      <c r="L48" s="1"/>
    </row>
    <row r="49" spans="1:12" ht="15" customHeight="1">
      <c r="A49" s="65" t="s">
        <v>31</v>
      </c>
      <c r="B49" s="194">
        <v>100</v>
      </c>
      <c r="C49" s="288" t="s">
        <v>148</v>
      </c>
      <c r="D49" s="209" t="s">
        <v>144</v>
      </c>
      <c r="E49" s="195">
        <v>7.5</v>
      </c>
      <c r="F49" s="195">
        <v>3.65</v>
      </c>
      <c r="G49" s="195">
        <v>3.05</v>
      </c>
      <c r="H49" s="195">
        <f t="shared" si="6"/>
        <v>83.493749999999991</v>
      </c>
      <c r="I49" s="187" t="s">
        <v>577</v>
      </c>
      <c r="J49" s="194">
        <f>310111.1/100000</f>
        <v>3.101111</v>
      </c>
      <c r="K49" s="247" t="s">
        <v>460</v>
      </c>
      <c r="L49" s="1"/>
    </row>
    <row r="50" spans="1:12" ht="15" customHeight="1">
      <c r="A50" s="66"/>
      <c r="B50" s="214">
        <f>SUM(B11:B49)</f>
        <v>28100</v>
      </c>
      <c r="C50" s="251"/>
      <c r="D50" s="252"/>
      <c r="E50" s="213"/>
      <c r="F50" s="213"/>
      <c r="G50" s="213"/>
      <c r="H50" s="213"/>
      <c r="I50" s="213"/>
      <c r="J50" s="253">
        <f>SUM(J11:J49)</f>
        <v>60.571110999999981</v>
      </c>
      <c r="K50" s="210"/>
      <c r="L50" s="1"/>
    </row>
    <row r="51" spans="1:12" ht="15" customHeight="1">
      <c r="A51" s="66"/>
      <c r="B51" s="214"/>
      <c r="C51" s="210"/>
      <c r="D51" s="210"/>
      <c r="E51" s="210"/>
      <c r="F51" s="210"/>
      <c r="G51" s="210"/>
      <c r="H51" s="210"/>
      <c r="I51" s="210"/>
      <c r="J51" s="215">
        <f>E4/100000</f>
        <v>60.571111111111108</v>
      </c>
      <c r="K51" s="210"/>
      <c r="L51" s="1"/>
    </row>
    <row r="52" spans="1:12" ht="15" customHeight="1">
      <c r="A52" s="66"/>
      <c r="B52" s="254">
        <f>B3*100</f>
        <v>28100</v>
      </c>
      <c r="C52" s="210"/>
      <c r="D52" s="210"/>
      <c r="E52" s="210"/>
      <c r="F52" s="210"/>
      <c r="G52" s="210"/>
      <c r="H52" s="210"/>
      <c r="I52" s="210"/>
      <c r="J52" s="255">
        <f>E2/100000</f>
        <v>54.514000000000003</v>
      </c>
      <c r="K52" s="210"/>
      <c r="L52" s="1"/>
    </row>
    <row r="53" spans="1:12">
      <c r="A53" s="256" t="s">
        <v>38</v>
      </c>
      <c r="B53" s="210"/>
      <c r="C53" s="257">
        <f>E2/100000</f>
        <v>54.514000000000003</v>
      </c>
      <c r="D53" s="258" t="s">
        <v>39</v>
      </c>
      <c r="E53" s="210"/>
      <c r="F53" s="210"/>
      <c r="G53" s="210"/>
      <c r="H53" s="210"/>
      <c r="I53" s="210"/>
      <c r="J53" s="210"/>
      <c r="K53" s="210"/>
      <c r="L53" s="1"/>
    </row>
    <row r="54" spans="1:12">
      <c r="A54" s="256" t="s">
        <v>40</v>
      </c>
      <c r="B54" s="210"/>
      <c r="C54" s="257">
        <f>C53*(1/9)</f>
        <v>6.0571111111111113</v>
      </c>
      <c r="D54" s="258" t="s">
        <v>39</v>
      </c>
      <c r="E54" s="210"/>
      <c r="F54" s="210"/>
      <c r="G54" s="210"/>
      <c r="H54" s="210"/>
      <c r="I54" s="210"/>
      <c r="J54" s="210"/>
      <c r="K54" s="210"/>
      <c r="L54" s="1"/>
    </row>
    <row r="55" spans="1:12">
      <c r="A55" s="258" t="s">
        <v>108</v>
      </c>
      <c r="B55" s="210"/>
      <c r="C55" s="210"/>
      <c r="D55" s="210"/>
      <c r="E55" s="210"/>
      <c r="F55" s="210"/>
      <c r="G55" s="210"/>
      <c r="H55" s="210"/>
      <c r="I55" s="210"/>
      <c r="J55" s="259"/>
      <c r="K55" s="210"/>
      <c r="L55" s="1"/>
    </row>
    <row r="56" spans="1:12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1"/>
    </row>
    <row r="57" spans="1:12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1"/>
    </row>
    <row r="58" spans="1:12">
      <c r="A58" s="210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1"/>
    </row>
    <row r="59" spans="1:12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1"/>
    </row>
    <row r="60" spans="1:12">
      <c r="A60" s="210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1"/>
    </row>
    <row r="61" spans="1:12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</sheetData>
  <mergeCells count="21">
    <mergeCell ref="A17:A26"/>
    <mergeCell ref="J7:J9"/>
    <mergeCell ref="K7:K9"/>
    <mergeCell ref="A46:A48"/>
    <mergeCell ref="A10:J10"/>
    <mergeCell ref="A7:A8"/>
    <mergeCell ref="B7:B8"/>
    <mergeCell ref="C7:C8"/>
    <mergeCell ref="D7:D8"/>
    <mergeCell ref="E7:I8"/>
    <mergeCell ref="A31:A32"/>
    <mergeCell ref="A33:A41"/>
    <mergeCell ref="A12:A13"/>
    <mergeCell ref="A14:A16"/>
    <mergeCell ref="K17:K26"/>
    <mergeCell ref="K33:K41"/>
    <mergeCell ref="E2:G2"/>
    <mergeCell ref="E3:G3"/>
    <mergeCell ref="E4:G4"/>
    <mergeCell ref="E5:G5"/>
    <mergeCell ref="E6:G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K80"/>
  <sheetViews>
    <sheetView topLeftCell="A62" workbookViewId="0">
      <selection activeCell="K69" sqref="K69"/>
    </sheetView>
  </sheetViews>
  <sheetFormatPr defaultColWidth="9.140625" defaultRowHeight="15"/>
  <cols>
    <col min="1" max="1" width="12.85546875" style="31" customWidth="1"/>
    <col min="2" max="2" width="13.42578125" style="31" customWidth="1"/>
    <col min="3" max="3" width="16" style="31" bestFit="1" customWidth="1"/>
    <col min="4" max="4" width="15.7109375" style="31" customWidth="1"/>
    <col min="5" max="5" width="16" style="31" bestFit="1" customWidth="1"/>
    <col min="6" max="9" width="9.140625" style="31"/>
    <col min="10" max="10" width="12.85546875" style="31" customWidth="1"/>
    <col min="11" max="11" width="27.42578125" style="31" bestFit="1" customWidth="1"/>
    <col min="12" max="16384" width="9.140625" style="31"/>
  </cols>
  <sheetData>
    <row r="1" spans="1:11">
      <c r="A1" s="10" t="s">
        <v>150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</row>
    <row r="2" spans="1:11">
      <c r="A2" s="2"/>
      <c r="B2" s="6"/>
      <c r="C2" s="3"/>
      <c r="D2" s="3" t="s">
        <v>0</v>
      </c>
      <c r="E2" s="138">
        <f>B3*194*100</f>
        <v>8206200</v>
      </c>
      <c r="F2" s="138"/>
      <c r="G2" s="138"/>
      <c r="H2" s="52"/>
      <c r="I2" s="52"/>
      <c r="J2" s="9"/>
      <c r="K2" s="1"/>
    </row>
    <row r="3" spans="1:11">
      <c r="A3" s="10" t="s">
        <v>1</v>
      </c>
      <c r="B3" s="6">
        <v>423</v>
      </c>
      <c r="C3" s="3"/>
      <c r="D3" s="3" t="s">
        <v>2</v>
      </c>
      <c r="E3" s="139">
        <f>E2*1/9</f>
        <v>911800</v>
      </c>
      <c r="F3" s="139"/>
      <c r="G3" s="139"/>
      <c r="H3" s="53"/>
      <c r="I3" s="53"/>
      <c r="J3" s="21"/>
      <c r="K3" s="1"/>
    </row>
    <row r="4" spans="1:11">
      <c r="A4" s="7"/>
      <c r="B4" s="5"/>
      <c r="C4" s="3"/>
      <c r="D4" s="3" t="s">
        <v>3</v>
      </c>
      <c r="E4" s="139">
        <f>SUM(E2:E3)</f>
        <v>9118000</v>
      </c>
      <c r="F4" s="139"/>
      <c r="G4" s="139"/>
      <c r="H4" s="53"/>
      <c r="I4" s="53"/>
      <c r="J4" s="9"/>
      <c r="K4" s="1"/>
    </row>
    <row r="5" spans="1:11">
      <c r="A5" s="7"/>
      <c r="B5" s="5"/>
      <c r="C5" s="3"/>
      <c r="D5" s="3" t="s">
        <v>4</v>
      </c>
      <c r="E5" s="139">
        <f>E4*0.06</f>
        <v>547080</v>
      </c>
      <c r="F5" s="139"/>
      <c r="G5" s="139"/>
      <c r="H5" s="53"/>
      <c r="I5" s="53"/>
      <c r="J5" s="9"/>
      <c r="K5" s="1"/>
    </row>
    <row r="6" spans="1:11">
      <c r="A6" s="7"/>
      <c r="B6" s="5"/>
      <c r="C6" s="3"/>
      <c r="D6" s="3" t="s">
        <v>5</v>
      </c>
      <c r="E6" s="140">
        <f>SUM(E4:E5)</f>
        <v>9665080</v>
      </c>
      <c r="F6" s="140"/>
      <c r="G6" s="140"/>
      <c r="H6" s="57"/>
      <c r="I6" s="57"/>
      <c r="J6" s="9"/>
      <c r="K6" s="1"/>
    </row>
    <row r="7" spans="1:1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573</v>
      </c>
      <c r="K7" s="162" t="s">
        <v>119</v>
      </c>
    </row>
    <row r="8" spans="1:11">
      <c r="A8" s="117"/>
      <c r="B8" s="118"/>
      <c r="C8" s="120"/>
      <c r="D8" s="122"/>
      <c r="E8" s="129"/>
      <c r="F8" s="130"/>
      <c r="G8" s="130"/>
      <c r="H8" s="130"/>
      <c r="I8" s="131"/>
      <c r="J8" s="149"/>
      <c r="K8" s="162"/>
    </row>
    <row r="9" spans="1:11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111"/>
      <c r="K9" s="162"/>
    </row>
    <row r="10" spans="1:11">
      <c r="A10" s="146" t="s">
        <v>11</v>
      </c>
      <c r="B10" s="147"/>
      <c r="C10" s="147"/>
      <c r="D10" s="147"/>
      <c r="E10" s="147"/>
      <c r="F10" s="147"/>
      <c r="G10" s="147"/>
      <c r="H10" s="147"/>
      <c r="I10" s="147"/>
      <c r="J10" s="148"/>
      <c r="K10" s="1"/>
    </row>
    <row r="11" spans="1:11" ht="45">
      <c r="A11" s="29" t="s">
        <v>12</v>
      </c>
      <c r="B11" s="54">
        <v>144</v>
      </c>
      <c r="C11" s="61" t="s">
        <v>109</v>
      </c>
      <c r="D11" s="12" t="s">
        <v>237</v>
      </c>
      <c r="E11" s="17">
        <f>1/(F11*G11)*B11</f>
        <v>24</v>
      </c>
      <c r="F11" s="54">
        <v>3</v>
      </c>
      <c r="G11" s="54">
        <v>2</v>
      </c>
      <c r="H11" s="54">
        <f>G11*F11*E11</f>
        <v>144</v>
      </c>
      <c r="I11" s="18" t="s">
        <v>126</v>
      </c>
      <c r="J11" s="18">
        <f>B11*194/100000</f>
        <v>0.27936</v>
      </c>
      <c r="K11" s="87" t="s">
        <v>461</v>
      </c>
    </row>
    <row r="12" spans="1:11" ht="30">
      <c r="A12" s="72" t="s">
        <v>151</v>
      </c>
      <c r="B12" s="18">
        <v>100</v>
      </c>
      <c r="C12" s="12" t="s">
        <v>152</v>
      </c>
      <c r="D12" s="16" t="s">
        <v>153</v>
      </c>
      <c r="E12" s="17">
        <v>3</v>
      </c>
      <c r="F12" s="54">
        <v>3</v>
      </c>
      <c r="G12" s="17">
        <v>2</v>
      </c>
      <c r="H12" s="54">
        <f t="shared" ref="H12:H29" si="0">G12*F12*E12</f>
        <v>18</v>
      </c>
      <c r="I12" s="18" t="s">
        <v>127</v>
      </c>
      <c r="J12" s="18">
        <f>250000/100000</f>
        <v>2.5</v>
      </c>
      <c r="K12" s="87" t="s">
        <v>462</v>
      </c>
    </row>
    <row r="13" spans="1:11">
      <c r="A13" s="116" t="s">
        <v>15</v>
      </c>
      <c r="B13" s="18">
        <v>300</v>
      </c>
      <c r="C13" s="11" t="s">
        <v>16</v>
      </c>
      <c r="D13" s="16" t="s">
        <v>120</v>
      </c>
      <c r="E13" s="17">
        <f t="shared" ref="E13:E14" si="1">1/(F13*G13)*B13</f>
        <v>3333.333333333333</v>
      </c>
      <c r="F13" s="54">
        <v>0.3</v>
      </c>
      <c r="G13" s="17">
        <v>0.3</v>
      </c>
      <c r="H13" s="54">
        <f t="shared" si="0"/>
        <v>299.99999999999994</v>
      </c>
      <c r="I13" s="18" t="s">
        <v>127</v>
      </c>
      <c r="J13" s="18">
        <f>B13*194/100000</f>
        <v>0.58199999999999996</v>
      </c>
      <c r="K13" s="85" t="s">
        <v>463</v>
      </c>
    </row>
    <row r="14" spans="1:11">
      <c r="A14" s="116"/>
      <c r="B14" s="18">
        <v>300</v>
      </c>
      <c r="C14" s="12" t="s">
        <v>17</v>
      </c>
      <c r="D14" s="16" t="s">
        <v>141</v>
      </c>
      <c r="E14" s="17">
        <f t="shared" si="1"/>
        <v>3333.333333333333</v>
      </c>
      <c r="F14" s="54">
        <v>0.3</v>
      </c>
      <c r="G14" s="17">
        <v>0.3</v>
      </c>
      <c r="H14" s="54">
        <f t="shared" si="0"/>
        <v>299.99999999999994</v>
      </c>
      <c r="I14" s="18" t="s">
        <v>127</v>
      </c>
      <c r="J14" s="91">
        <f t="shared" ref="J14:J21" si="2">B14*194/100000</f>
        <v>0.58199999999999996</v>
      </c>
      <c r="K14" s="85" t="s">
        <v>464</v>
      </c>
    </row>
    <row r="15" spans="1:11" ht="30">
      <c r="A15" s="116"/>
      <c r="B15" s="18">
        <v>1000</v>
      </c>
      <c r="C15" s="11" t="s">
        <v>18</v>
      </c>
      <c r="D15" s="16" t="s">
        <v>53</v>
      </c>
      <c r="E15" s="17">
        <f>1/(F15*G15)*B15</f>
        <v>1000</v>
      </c>
      <c r="F15" s="54">
        <v>1</v>
      </c>
      <c r="G15" s="17">
        <v>1</v>
      </c>
      <c r="H15" s="54">
        <f t="shared" si="0"/>
        <v>1000</v>
      </c>
      <c r="I15" s="18" t="s">
        <v>127</v>
      </c>
      <c r="J15" s="91">
        <f t="shared" si="2"/>
        <v>1.94</v>
      </c>
      <c r="K15" s="88" t="s">
        <v>465</v>
      </c>
    </row>
    <row r="16" spans="1:11">
      <c r="A16" s="272" t="s">
        <v>19</v>
      </c>
      <c r="B16" s="194">
        <v>1500</v>
      </c>
      <c r="C16" s="229" t="s">
        <v>20</v>
      </c>
      <c r="D16" s="196" t="s">
        <v>154</v>
      </c>
      <c r="E16" s="195">
        <f t="shared" ref="E16:E29" si="3">1/(F16*G16)*B16</f>
        <v>1000</v>
      </c>
      <c r="F16" s="217">
        <v>1.5</v>
      </c>
      <c r="G16" s="195">
        <v>1</v>
      </c>
      <c r="H16" s="217">
        <f t="shared" si="0"/>
        <v>1500</v>
      </c>
      <c r="I16" s="194" t="s">
        <v>127</v>
      </c>
      <c r="J16" s="194">
        <f t="shared" si="2"/>
        <v>2.91</v>
      </c>
      <c r="K16" s="230" t="s">
        <v>466</v>
      </c>
    </row>
    <row r="17" spans="1:11">
      <c r="A17" s="274"/>
      <c r="B17" s="194">
        <v>1500</v>
      </c>
      <c r="C17" s="229" t="s">
        <v>20</v>
      </c>
      <c r="D17" s="196" t="s">
        <v>155</v>
      </c>
      <c r="E17" s="195">
        <f t="shared" si="3"/>
        <v>1000</v>
      </c>
      <c r="F17" s="195">
        <v>1.5</v>
      </c>
      <c r="G17" s="195">
        <v>1</v>
      </c>
      <c r="H17" s="217">
        <f t="shared" si="0"/>
        <v>1500</v>
      </c>
      <c r="I17" s="194" t="s">
        <v>127</v>
      </c>
      <c r="J17" s="194">
        <f t="shared" si="2"/>
        <v>2.91</v>
      </c>
      <c r="K17" s="230"/>
    </row>
    <row r="18" spans="1:11">
      <c r="A18" s="274"/>
      <c r="B18" s="194">
        <v>1500</v>
      </c>
      <c r="C18" s="229" t="s">
        <v>20</v>
      </c>
      <c r="D18" s="196" t="s">
        <v>156</v>
      </c>
      <c r="E18" s="195">
        <f t="shared" si="3"/>
        <v>1000</v>
      </c>
      <c r="F18" s="195">
        <v>1.5</v>
      </c>
      <c r="G18" s="195">
        <v>1</v>
      </c>
      <c r="H18" s="217">
        <f t="shared" si="0"/>
        <v>1500</v>
      </c>
      <c r="I18" s="194" t="s">
        <v>127</v>
      </c>
      <c r="J18" s="194">
        <f t="shared" si="2"/>
        <v>2.91</v>
      </c>
      <c r="K18" s="230"/>
    </row>
    <row r="19" spans="1:11">
      <c r="A19" s="274"/>
      <c r="B19" s="194">
        <v>1500</v>
      </c>
      <c r="C19" s="229" t="s">
        <v>20</v>
      </c>
      <c r="D19" s="196" t="s">
        <v>153</v>
      </c>
      <c r="E19" s="195">
        <f t="shared" si="3"/>
        <v>1000</v>
      </c>
      <c r="F19" s="195">
        <v>1.5</v>
      </c>
      <c r="G19" s="195">
        <v>1</v>
      </c>
      <c r="H19" s="217">
        <f t="shared" si="0"/>
        <v>1500</v>
      </c>
      <c r="I19" s="194" t="s">
        <v>127</v>
      </c>
      <c r="J19" s="194">
        <f t="shared" si="2"/>
        <v>2.91</v>
      </c>
      <c r="K19" s="230"/>
    </row>
    <row r="20" spans="1:11">
      <c r="A20" s="274"/>
      <c r="B20" s="194">
        <v>1500</v>
      </c>
      <c r="C20" s="229" t="s">
        <v>20</v>
      </c>
      <c r="D20" s="196" t="s">
        <v>155</v>
      </c>
      <c r="E20" s="195">
        <f t="shared" si="3"/>
        <v>1000</v>
      </c>
      <c r="F20" s="195">
        <v>1.5</v>
      </c>
      <c r="G20" s="195">
        <v>1</v>
      </c>
      <c r="H20" s="217">
        <f t="shared" si="0"/>
        <v>1500</v>
      </c>
      <c r="I20" s="194" t="s">
        <v>127</v>
      </c>
      <c r="J20" s="194">
        <f t="shared" si="2"/>
        <v>2.91</v>
      </c>
      <c r="K20" s="230"/>
    </row>
    <row r="21" spans="1:11">
      <c r="A21" s="274"/>
      <c r="B21" s="194">
        <v>1500</v>
      </c>
      <c r="C21" s="229" t="s">
        <v>20</v>
      </c>
      <c r="D21" s="196" t="s">
        <v>155</v>
      </c>
      <c r="E21" s="195">
        <f t="shared" si="3"/>
        <v>1000</v>
      </c>
      <c r="F21" s="195">
        <v>1.5</v>
      </c>
      <c r="G21" s="195">
        <v>1</v>
      </c>
      <c r="H21" s="217">
        <f t="shared" si="0"/>
        <v>1500</v>
      </c>
      <c r="I21" s="194" t="s">
        <v>127</v>
      </c>
      <c r="J21" s="194">
        <f t="shared" si="2"/>
        <v>2.91</v>
      </c>
      <c r="K21" s="230"/>
    </row>
    <row r="22" spans="1:11">
      <c r="A22" s="274"/>
      <c r="B22" s="187"/>
      <c r="C22" s="188"/>
      <c r="D22" s="189"/>
      <c r="E22" s="187"/>
      <c r="F22" s="187"/>
      <c r="G22" s="187"/>
      <c r="H22" s="187"/>
      <c r="I22" s="187"/>
      <c r="J22" s="187"/>
      <c r="K22" s="210"/>
    </row>
    <row r="23" spans="1:11" ht="18.75" customHeight="1">
      <c r="A23" s="274"/>
      <c r="B23" s="194">
        <v>1500</v>
      </c>
      <c r="C23" s="229" t="s">
        <v>20</v>
      </c>
      <c r="D23" s="196" t="s">
        <v>157</v>
      </c>
      <c r="E23" s="195">
        <f t="shared" si="3"/>
        <v>1000</v>
      </c>
      <c r="F23" s="195">
        <v>1.5</v>
      </c>
      <c r="G23" s="195">
        <v>1</v>
      </c>
      <c r="H23" s="217">
        <f t="shared" si="0"/>
        <v>1500</v>
      </c>
      <c r="I23" s="194" t="s">
        <v>127</v>
      </c>
      <c r="J23" s="194">
        <f>B23*194/100000</f>
        <v>2.91</v>
      </c>
      <c r="K23" s="275" t="s">
        <v>467</v>
      </c>
    </row>
    <row r="24" spans="1:11">
      <c r="A24" s="274"/>
      <c r="B24" s="194">
        <v>1500</v>
      </c>
      <c r="C24" s="229" t="s">
        <v>20</v>
      </c>
      <c r="D24" s="196" t="s">
        <v>157</v>
      </c>
      <c r="E24" s="195">
        <f t="shared" ref="E24:E26" si="4">1/(F24*G24)*B24</f>
        <v>1000</v>
      </c>
      <c r="F24" s="195">
        <v>1.5</v>
      </c>
      <c r="G24" s="195">
        <v>1</v>
      </c>
      <c r="H24" s="217">
        <f t="shared" ref="H24:H26" si="5">G24*F24*E24</f>
        <v>1500</v>
      </c>
      <c r="I24" s="194" t="s">
        <v>127</v>
      </c>
      <c r="J24" s="194">
        <f t="shared" ref="J24:J31" si="6">B24*194/100000</f>
        <v>2.91</v>
      </c>
      <c r="K24" s="276"/>
    </row>
    <row r="25" spans="1:11">
      <c r="A25" s="274"/>
      <c r="B25" s="194">
        <v>1500</v>
      </c>
      <c r="C25" s="229" t="s">
        <v>20</v>
      </c>
      <c r="D25" s="196" t="s">
        <v>158</v>
      </c>
      <c r="E25" s="195">
        <f t="shared" si="4"/>
        <v>1000</v>
      </c>
      <c r="F25" s="195">
        <v>1.5</v>
      </c>
      <c r="G25" s="195">
        <v>1</v>
      </c>
      <c r="H25" s="217">
        <f t="shared" si="5"/>
        <v>1500</v>
      </c>
      <c r="I25" s="194" t="s">
        <v>127</v>
      </c>
      <c r="J25" s="194">
        <f t="shared" si="6"/>
        <v>2.91</v>
      </c>
      <c r="K25" s="276"/>
    </row>
    <row r="26" spans="1:11">
      <c r="A26" s="274"/>
      <c r="B26" s="194">
        <v>1500</v>
      </c>
      <c r="C26" s="229" t="s">
        <v>20</v>
      </c>
      <c r="D26" s="196" t="s">
        <v>159</v>
      </c>
      <c r="E26" s="195">
        <f t="shared" si="4"/>
        <v>1000</v>
      </c>
      <c r="F26" s="195">
        <v>1.5</v>
      </c>
      <c r="G26" s="195">
        <v>1</v>
      </c>
      <c r="H26" s="217">
        <f t="shared" si="5"/>
        <v>1500</v>
      </c>
      <c r="I26" s="194" t="s">
        <v>127</v>
      </c>
      <c r="J26" s="194">
        <f t="shared" si="6"/>
        <v>2.91</v>
      </c>
      <c r="K26" s="276"/>
    </row>
    <row r="27" spans="1:11" ht="12.75" customHeight="1">
      <c r="A27" s="274"/>
      <c r="B27" s="194">
        <v>1500</v>
      </c>
      <c r="C27" s="229" t="s">
        <v>20</v>
      </c>
      <c r="D27" s="196" t="s">
        <v>160</v>
      </c>
      <c r="E27" s="195">
        <f t="shared" si="3"/>
        <v>1000</v>
      </c>
      <c r="F27" s="195">
        <v>1.5</v>
      </c>
      <c r="G27" s="195">
        <v>1</v>
      </c>
      <c r="H27" s="217">
        <f t="shared" si="0"/>
        <v>1500</v>
      </c>
      <c r="I27" s="194" t="s">
        <v>127</v>
      </c>
      <c r="J27" s="194">
        <f t="shared" si="6"/>
        <v>2.91</v>
      </c>
      <c r="K27" s="276"/>
    </row>
    <row r="28" spans="1:11">
      <c r="A28" s="274"/>
      <c r="B28" s="194">
        <v>1500</v>
      </c>
      <c r="C28" s="229" t="s">
        <v>20</v>
      </c>
      <c r="D28" s="196" t="s">
        <v>156</v>
      </c>
      <c r="E28" s="195">
        <f t="shared" si="3"/>
        <v>1000</v>
      </c>
      <c r="F28" s="195">
        <v>1.5</v>
      </c>
      <c r="G28" s="195">
        <v>1</v>
      </c>
      <c r="H28" s="217">
        <f t="shared" si="0"/>
        <v>1500</v>
      </c>
      <c r="I28" s="194" t="s">
        <v>127</v>
      </c>
      <c r="J28" s="194">
        <f t="shared" si="6"/>
        <v>2.91</v>
      </c>
      <c r="K28" s="276"/>
    </row>
    <row r="29" spans="1:11">
      <c r="A29" s="274"/>
      <c r="B29" s="194">
        <v>1500</v>
      </c>
      <c r="C29" s="229" t="s">
        <v>20</v>
      </c>
      <c r="D29" s="196"/>
      <c r="E29" s="195">
        <f t="shared" si="3"/>
        <v>1000</v>
      </c>
      <c r="F29" s="195">
        <v>1.5</v>
      </c>
      <c r="G29" s="195">
        <v>1</v>
      </c>
      <c r="H29" s="217">
        <f t="shared" si="0"/>
        <v>1500</v>
      </c>
      <c r="I29" s="194" t="s">
        <v>127</v>
      </c>
      <c r="J29" s="194">
        <f t="shared" si="6"/>
        <v>2.91</v>
      </c>
      <c r="K29" s="276"/>
    </row>
    <row r="30" spans="1:11">
      <c r="A30" s="283"/>
      <c r="B30" s="194">
        <v>1500</v>
      </c>
      <c r="C30" s="264" t="s">
        <v>129</v>
      </c>
      <c r="D30" s="196" t="s">
        <v>166</v>
      </c>
      <c r="E30" s="195">
        <f t="shared" ref="E30:E31" si="7">1/(F30*G30)*B30</f>
        <v>1000</v>
      </c>
      <c r="F30" s="195">
        <v>1.5</v>
      </c>
      <c r="G30" s="195">
        <v>1</v>
      </c>
      <c r="H30" s="217">
        <f t="shared" ref="H30:H31" si="8">G30*F30*E30</f>
        <v>1500</v>
      </c>
      <c r="I30" s="194" t="s">
        <v>127</v>
      </c>
      <c r="J30" s="194">
        <f t="shared" si="6"/>
        <v>2.91</v>
      </c>
      <c r="K30" s="276"/>
    </row>
    <row r="31" spans="1:11">
      <c r="A31" s="283"/>
      <c r="B31" s="194">
        <v>1500</v>
      </c>
      <c r="C31" s="264" t="s">
        <v>129</v>
      </c>
      <c r="D31" s="196" t="s">
        <v>167</v>
      </c>
      <c r="E31" s="195">
        <f t="shared" si="7"/>
        <v>1000</v>
      </c>
      <c r="F31" s="195">
        <v>1.5</v>
      </c>
      <c r="G31" s="195">
        <v>1</v>
      </c>
      <c r="H31" s="217">
        <f t="shared" si="8"/>
        <v>1500</v>
      </c>
      <c r="I31" s="194" t="s">
        <v>127</v>
      </c>
      <c r="J31" s="194">
        <f t="shared" si="6"/>
        <v>2.91</v>
      </c>
      <c r="K31" s="278"/>
    </row>
    <row r="32" spans="1:11">
      <c r="A32" s="283"/>
      <c r="B32" s="190"/>
      <c r="C32" s="191"/>
      <c r="D32" s="199"/>
      <c r="E32" s="190"/>
      <c r="F32" s="190"/>
      <c r="G32" s="190"/>
      <c r="H32" s="190"/>
      <c r="I32" s="190"/>
      <c r="J32" s="190"/>
      <c r="K32" s="210"/>
    </row>
    <row r="33" spans="1:11">
      <c r="A33" s="201" t="s">
        <v>21</v>
      </c>
      <c r="B33" s="236"/>
      <c r="C33" s="201"/>
      <c r="D33" s="201"/>
      <c r="E33" s="201"/>
      <c r="F33" s="201"/>
      <c r="G33" s="201"/>
      <c r="H33" s="201"/>
      <c r="I33" s="201"/>
      <c r="J33" s="201"/>
      <c r="K33" s="210"/>
    </row>
    <row r="34" spans="1:11">
      <c r="A34" s="236"/>
      <c r="B34" s="236"/>
      <c r="C34" s="236"/>
      <c r="D34" s="236"/>
      <c r="E34" s="236"/>
      <c r="F34" s="236"/>
      <c r="G34" s="236"/>
      <c r="H34" s="236"/>
      <c r="I34" s="236"/>
      <c r="J34" s="236"/>
      <c r="K34" s="210"/>
    </row>
    <row r="35" spans="1:11">
      <c r="A35" s="115" t="s">
        <v>28</v>
      </c>
      <c r="B35" s="194">
        <v>5</v>
      </c>
      <c r="C35" s="196" t="s">
        <v>66</v>
      </c>
      <c r="D35" s="37" t="s">
        <v>468</v>
      </c>
      <c r="E35" s="195">
        <v>3.05</v>
      </c>
      <c r="F35" s="195">
        <v>2</v>
      </c>
      <c r="G35" s="195">
        <v>2.2000000000000002</v>
      </c>
      <c r="H35" s="195">
        <f t="shared" ref="H35:H64" si="9">G35*F35*E35</f>
        <v>13.42</v>
      </c>
      <c r="I35" s="194" t="s">
        <v>577</v>
      </c>
      <c r="J35" s="194">
        <f>45970/100000</f>
        <v>0.4597</v>
      </c>
      <c r="K35" s="226" t="s">
        <v>470</v>
      </c>
    </row>
    <row r="36" spans="1:11">
      <c r="A36" s="115"/>
      <c r="B36" s="194">
        <v>10</v>
      </c>
      <c r="C36" s="35" t="s">
        <v>67</v>
      </c>
      <c r="D36" s="37" t="s">
        <v>469</v>
      </c>
      <c r="E36" s="195">
        <v>3.05</v>
      </c>
      <c r="F36" s="195">
        <v>2</v>
      </c>
      <c r="G36" s="195">
        <v>2.2000000000000002</v>
      </c>
      <c r="H36" s="195">
        <f t="shared" si="9"/>
        <v>13.42</v>
      </c>
      <c r="I36" s="194" t="s">
        <v>577</v>
      </c>
      <c r="J36" s="194">
        <f>360000/100000</f>
        <v>3.6</v>
      </c>
      <c r="K36" s="226" t="s">
        <v>471</v>
      </c>
    </row>
    <row r="37" spans="1:11" ht="15" customHeight="1">
      <c r="A37" s="123" t="s">
        <v>29</v>
      </c>
      <c r="B37" s="194">
        <v>780</v>
      </c>
      <c r="C37" s="209" t="s">
        <v>30</v>
      </c>
      <c r="D37" s="196" t="s">
        <v>157</v>
      </c>
      <c r="E37" s="195">
        <f t="shared" ref="E37:E45" si="10">1/(F37*G37)*B37</f>
        <v>95.823095823095812</v>
      </c>
      <c r="F37" s="195">
        <v>3.7</v>
      </c>
      <c r="G37" s="195">
        <v>2.2000000000000002</v>
      </c>
      <c r="H37" s="195">
        <f t="shared" si="9"/>
        <v>780</v>
      </c>
      <c r="I37" s="194" t="s">
        <v>127</v>
      </c>
      <c r="J37" s="194">
        <f>B37*194/100000</f>
        <v>1.5132000000000001</v>
      </c>
      <c r="K37" s="242" t="s">
        <v>472</v>
      </c>
    </row>
    <row r="38" spans="1:11" ht="15" customHeight="1">
      <c r="A38" s="124"/>
      <c r="B38" s="194">
        <v>780</v>
      </c>
      <c r="C38" s="239" t="s">
        <v>30</v>
      </c>
      <c r="D38" s="196" t="s">
        <v>155</v>
      </c>
      <c r="E38" s="195">
        <f t="shared" si="10"/>
        <v>95.823095823095812</v>
      </c>
      <c r="F38" s="195">
        <v>3.7</v>
      </c>
      <c r="G38" s="195">
        <v>2.2000000000000002</v>
      </c>
      <c r="H38" s="195">
        <f t="shared" si="9"/>
        <v>780</v>
      </c>
      <c r="I38" s="194" t="s">
        <v>127</v>
      </c>
      <c r="J38" s="194">
        <f t="shared" ref="J38:J57" si="11">B38*194/100000</f>
        <v>1.5132000000000001</v>
      </c>
      <c r="K38" s="243"/>
    </row>
    <row r="39" spans="1:11" ht="15" customHeight="1">
      <c r="A39" s="124"/>
      <c r="B39" s="194">
        <v>780</v>
      </c>
      <c r="C39" s="239" t="s">
        <v>30</v>
      </c>
      <c r="D39" s="196" t="s">
        <v>161</v>
      </c>
      <c r="E39" s="195">
        <f t="shared" si="10"/>
        <v>95.823095823095812</v>
      </c>
      <c r="F39" s="195">
        <v>3.7</v>
      </c>
      <c r="G39" s="195">
        <v>2.2000000000000002</v>
      </c>
      <c r="H39" s="195">
        <f t="shared" si="9"/>
        <v>780</v>
      </c>
      <c r="I39" s="194" t="s">
        <v>127</v>
      </c>
      <c r="J39" s="194">
        <f t="shared" si="11"/>
        <v>1.5132000000000001</v>
      </c>
      <c r="K39" s="243"/>
    </row>
    <row r="40" spans="1:11" ht="15" customHeight="1">
      <c r="A40" s="124"/>
      <c r="B40" s="194">
        <v>780</v>
      </c>
      <c r="C40" s="239" t="s">
        <v>30</v>
      </c>
      <c r="D40" s="196" t="s">
        <v>155</v>
      </c>
      <c r="E40" s="195">
        <f t="shared" si="10"/>
        <v>95.823095823095812</v>
      </c>
      <c r="F40" s="195">
        <v>3.7</v>
      </c>
      <c r="G40" s="195">
        <v>2.2000000000000002</v>
      </c>
      <c r="H40" s="195">
        <f t="shared" si="9"/>
        <v>780</v>
      </c>
      <c r="I40" s="194" t="s">
        <v>127</v>
      </c>
      <c r="J40" s="194">
        <f t="shared" si="11"/>
        <v>1.5132000000000001</v>
      </c>
      <c r="K40" s="243"/>
    </row>
    <row r="41" spans="1:11" ht="15" customHeight="1">
      <c r="A41" s="124"/>
      <c r="B41" s="194">
        <v>780</v>
      </c>
      <c r="C41" s="239" t="s">
        <v>30</v>
      </c>
      <c r="D41" s="196" t="s">
        <v>162</v>
      </c>
      <c r="E41" s="195">
        <f t="shared" si="10"/>
        <v>95.823095823095812</v>
      </c>
      <c r="F41" s="195">
        <v>3.7</v>
      </c>
      <c r="G41" s="195">
        <v>2.2000000000000002</v>
      </c>
      <c r="H41" s="195">
        <f t="shared" si="9"/>
        <v>780</v>
      </c>
      <c r="I41" s="194" t="s">
        <v>127</v>
      </c>
      <c r="J41" s="194">
        <f t="shared" si="11"/>
        <v>1.5132000000000001</v>
      </c>
      <c r="K41" s="243"/>
    </row>
    <row r="42" spans="1:11" ht="15" customHeight="1">
      <c r="A42" s="124"/>
      <c r="B42" s="194">
        <v>780</v>
      </c>
      <c r="C42" s="239" t="s">
        <v>30</v>
      </c>
      <c r="D42" s="196" t="s">
        <v>155</v>
      </c>
      <c r="E42" s="195">
        <f t="shared" si="10"/>
        <v>95.823095823095812</v>
      </c>
      <c r="F42" s="195">
        <v>3.7</v>
      </c>
      <c r="G42" s="195">
        <v>2.2000000000000002</v>
      </c>
      <c r="H42" s="195">
        <f t="shared" si="9"/>
        <v>780</v>
      </c>
      <c r="I42" s="194" t="s">
        <v>127</v>
      </c>
      <c r="J42" s="194">
        <f t="shared" si="11"/>
        <v>1.5132000000000001</v>
      </c>
      <c r="K42" s="243"/>
    </row>
    <row r="43" spans="1:11" ht="15" customHeight="1">
      <c r="A43" s="124"/>
      <c r="B43" s="194">
        <v>780</v>
      </c>
      <c r="C43" s="239" t="s">
        <v>30</v>
      </c>
      <c r="D43" s="196" t="s">
        <v>163</v>
      </c>
      <c r="E43" s="195">
        <f t="shared" si="10"/>
        <v>95.823095823095812</v>
      </c>
      <c r="F43" s="195">
        <v>3.7</v>
      </c>
      <c r="G43" s="195">
        <v>2.2000000000000002</v>
      </c>
      <c r="H43" s="195">
        <f t="shared" si="9"/>
        <v>780</v>
      </c>
      <c r="I43" s="194" t="s">
        <v>127</v>
      </c>
      <c r="J43" s="194">
        <f t="shared" si="11"/>
        <v>1.5132000000000001</v>
      </c>
      <c r="K43" s="243"/>
    </row>
    <row r="44" spans="1:11" ht="15" customHeight="1">
      <c r="A44" s="124"/>
      <c r="B44" s="194">
        <v>780</v>
      </c>
      <c r="C44" s="239" t="s">
        <v>30</v>
      </c>
      <c r="D44" s="196" t="s">
        <v>163</v>
      </c>
      <c r="E44" s="195">
        <f t="shared" si="10"/>
        <v>95.823095823095812</v>
      </c>
      <c r="F44" s="195">
        <v>3.7</v>
      </c>
      <c r="G44" s="195">
        <v>2.2000000000000002</v>
      </c>
      <c r="H44" s="195">
        <f t="shared" si="9"/>
        <v>780</v>
      </c>
      <c r="I44" s="194" t="s">
        <v>127</v>
      </c>
      <c r="J44" s="194">
        <f t="shared" si="11"/>
        <v>1.5132000000000001</v>
      </c>
      <c r="K44" s="243"/>
    </row>
    <row r="45" spans="1:11" ht="15" customHeight="1">
      <c r="A45" s="124"/>
      <c r="B45" s="194">
        <v>780</v>
      </c>
      <c r="C45" s="239" t="s">
        <v>30</v>
      </c>
      <c r="D45" s="196" t="s">
        <v>164</v>
      </c>
      <c r="E45" s="195">
        <f t="shared" si="10"/>
        <v>95.823095823095812</v>
      </c>
      <c r="F45" s="195">
        <v>3.7</v>
      </c>
      <c r="G45" s="195">
        <v>2.2000000000000002</v>
      </c>
      <c r="H45" s="195">
        <f t="shared" si="9"/>
        <v>780</v>
      </c>
      <c r="I45" s="194" t="s">
        <v>127</v>
      </c>
      <c r="J45" s="194">
        <f t="shared" si="11"/>
        <v>1.5132000000000001</v>
      </c>
      <c r="K45" s="243"/>
    </row>
    <row r="46" spans="1:11" ht="15" customHeight="1">
      <c r="A46" s="124"/>
      <c r="B46" s="194">
        <v>780</v>
      </c>
      <c r="C46" s="239" t="s">
        <v>30</v>
      </c>
      <c r="D46" s="196" t="s">
        <v>165</v>
      </c>
      <c r="E46" s="195">
        <f t="shared" ref="E46:E57" si="12">1/(F46*G46)*B46</f>
        <v>95.823095823095812</v>
      </c>
      <c r="F46" s="195">
        <v>3.7</v>
      </c>
      <c r="G46" s="195">
        <v>2.2000000000000002</v>
      </c>
      <c r="H46" s="195">
        <f t="shared" ref="H46:H57" si="13">G46*F46*E46</f>
        <v>780</v>
      </c>
      <c r="I46" s="194" t="s">
        <v>127</v>
      </c>
      <c r="J46" s="194">
        <f t="shared" si="11"/>
        <v>1.5132000000000001</v>
      </c>
      <c r="K46" s="243"/>
    </row>
    <row r="47" spans="1:11" ht="15" customHeight="1">
      <c r="A47" s="124"/>
      <c r="B47" s="194">
        <v>780</v>
      </c>
      <c r="C47" s="239" t="s">
        <v>30</v>
      </c>
      <c r="D47" s="196" t="s">
        <v>157</v>
      </c>
      <c r="E47" s="195">
        <f t="shared" si="12"/>
        <v>95.823095823095812</v>
      </c>
      <c r="F47" s="195">
        <v>3.7</v>
      </c>
      <c r="G47" s="195">
        <v>2.2000000000000002</v>
      </c>
      <c r="H47" s="195">
        <f t="shared" si="13"/>
        <v>780</v>
      </c>
      <c r="I47" s="194" t="s">
        <v>127</v>
      </c>
      <c r="J47" s="194">
        <f t="shared" si="11"/>
        <v>1.5132000000000001</v>
      </c>
      <c r="K47" s="243"/>
    </row>
    <row r="48" spans="1:11" ht="15" customHeight="1">
      <c r="A48" s="124"/>
      <c r="B48" s="194">
        <v>780</v>
      </c>
      <c r="C48" s="239" t="s">
        <v>30</v>
      </c>
      <c r="D48" s="196" t="s">
        <v>155</v>
      </c>
      <c r="E48" s="195">
        <f t="shared" ref="E48:E52" si="14">1/(F48*G48)*B48</f>
        <v>95.823095823095812</v>
      </c>
      <c r="F48" s="195">
        <v>3.7</v>
      </c>
      <c r="G48" s="195">
        <v>2.2000000000000002</v>
      </c>
      <c r="H48" s="195">
        <f t="shared" ref="H48:H52" si="15">G48*F48*E48</f>
        <v>780</v>
      </c>
      <c r="I48" s="194" t="s">
        <v>127</v>
      </c>
      <c r="J48" s="194">
        <f t="shared" si="11"/>
        <v>1.5132000000000001</v>
      </c>
      <c r="K48" s="243"/>
    </row>
    <row r="49" spans="1:11" ht="15" customHeight="1">
      <c r="A49" s="124"/>
      <c r="B49" s="194">
        <v>780</v>
      </c>
      <c r="C49" s="239" t="s">
        <v>30</v>
      </c>
      <c r="D49" s="196" t="s">
        <v>155</v>
      </c>
      <c r="E49" s="195">
        <f t="shared" si="14"/>
        <v>95.823095823095812</v>
      </c>
      <c r="F49" s="195">
        <v>3.7</v>
      </c>
      <c r="G49" s="195">
        <v>2.2000000000000002</v>
      </c>
      <c r="H49" s="195">
        <f t="shared" si="15"/>
        <v>780</v>
      </c>
      <c r="I49" s="194" t="s">
        <v>127</v>
      </c>
      <c r="J49" s="194">
        <f t="shared" si="11"/>
        <v>1.5132000000000001</v>
      </c>
      <c r="K49" s="243"/>
    </row>
    <row r="50" spans="1:11" ht="15" customHeight="1">
      <c r="A50" s="124"/>
      <c r="B50" s="194">
        <v>780</v>
      </c>
      <c r="C50" s="239" t="s">
        <v>30</v>
      </c>
      <c r="D50" s="196" t="s">
        <v>155</v>
      </c>
      <c r="E50" s="195">
        <f t="shared" si="14"/>
        <v>95.823095823095812</v>
      </c>
      <c r="F50" s="195">
        <v>3.7</v>
      </c>
      <c r="G50" s="195">
        <v>2.2000000000000002</v>
      </c>
      <c r="H50" s="195">
        <f t="shared" si="15"/>
        <v>780</v>
      </c>
      <c r="I50" s="194" t="s">
        <v>127</v>
      </c>
      <c r="J50" s="194">
        <f t="shared" si="11"/>
        <v>1.5132000000000001</v>
      </c>
      <c r="K50" s="243"/>
    </row>
    <row r="51" spans="1:11" ht="15" customHeight="1">
      <c r="A51" s="124"/>
      <c r="B51" s="194">
        <v>780</v>
      </c>
      <c r="C51" s="239" t="s">
        <v>30</v>
      </c>
      <c r="D51" s="196" t="s">
        <v>155</v>
      </c>
      <c r="E51" s="195">
        <f t="shared" si="14"/>
        <v>95.823095823095812</v>
      </c>
      <c r="F51" s="195">
        <v>3.7</v>
      </c>
      <c r="G51" s="195">
        <v>2.2000000000000002</v>
      </c>
      <c r="H51" s="195">
        <f t="shared" si="15"/>
        <v>780</v>
      </c>
      <c r="I51" s="194" t="s">
        <v>127</v>
      </c>
      <c r="J51" s="194">
        <f t="shared" si="11"/>
        <v>1.5132000000000001</v>
      </c>
      <c r="K51" s="243"/>
    </row>
    <row r="52" spans="1:11" ht="15" customHeight="1">
      <c r="A52" s="124"/>
      <c r="B52" s="194">
        <v>780</v>
      </c>
      <c r="C52" s="239" t="s">
        <v>30</v>
      </c>
      <c r="D52" s="196" t="s">
        <v>157</v>
      </c>
      <c r="E52" s="195">
        <f t="shared" si="14"/>
        <v>95.823095823095812</v>
      </c>
      <c r="F52" s="195">
        <v>3.7</v>
      </c>
      <c r="G52" s="195">
        <v>2.2000000000000002</v>
      </c>
      <c r="H52" s="195">
        <f t="shared" si="15"/>
        <v>780</v>
      </c>
      <c r="I52" s="194" t="s">
        <v>127</v>
      </c>
      <c r="J52" s="194">
        <f t="shared" si="11"/>
        <v>1.5132000000000001</v>
      </c>
      <c r="K52" s="243"/>
    </row>
    <row r="53" spans="1:11" ht="15" customHeight="1">
      <c r="A53" s="124"/>
      <c r="B53" s="194">
        <v>780</v>
      </c>
      <c r="C53" s="239" t="s">
        <v>30</v>
      </c>
      <c r="D53" s="196" t="s">
        <v>155</v>
      </c>
      <c r="E53" s="195">
        <f t="shared" si="12"/>
        <v>95.823095823095812</v>
      </c>
      <c r="F53" s="195">
        <v>3.7</v>
      </c>
      <c r="G53" s="195">
        <v>2.2000000000000002</v>
      </c>
      <c r="H53" s="195">
        <f t="shared" si="13"/>
        <v>780</v>
      </c>
      <c r="I53" s="194" t="s">
        <v>127</v>
      </c>
      <c r="J53" s="194">
        <f t="shared" si="11"/>
        <v>1.5132000000000001</v>
      </c>
      <c r="K53" s="243"/>
    </row>
    <row r="54" spans="1:11" ht="15" customHeight="1">
      <c r="A54" s="124"/>
      <c r="B54" s="194">
        <v>780</v>
      </c>
      <c r="C54" s="239" t="s">
        <v>30</v>
      </c>
      <c r="D54" s="196" t="s">
        <v>163</v>
      </c>
      <c r="E54" s="195">
        <f t="shared" si="12"/>
        <v>95.823095823095812</v>
      </c>
      <c r="F54" s="195">
        <v>3.7</v>
      </c>
      <c r="G54" s="195">
        <v>2.2000000000000002</v>
      </c>
      <c r="H54" s="195">
        <f t="shared" si="13"/>
        <v>780</v>
      </c>
      <c r="I54" s="194" t="s">
        <v>127</v>
      </c>
      <c r="J54" s="194">
        <f t="shared" si="11"/>
        <v>1.5132000000000001</v>
      </c>
      <c r="K54" s="243"/>
    </row>
    <row r="55" spans="1:11" ht="15" customHeight="1">
      <c r="A55" s="124"/>
      <c r="B55" s="194">
        <v>780</v>
      </c>
      <c r="C55" s="239" t="s">
        <v>30</v>
      </c>
      <c r="D55" s="196" t="s">
        <v>155</v>
      </c>
      <c r="E55" s="195">
        <f t="shared" si="12"/>
        <v>95.823095823095812</v>
      </c>
      <c r="F55" s="195">
        <v>3.7</v>
      </c>
      <c r="G55" s="195">
        <v>2.2000000000000002</v>
      </c>
      <c r="H55" s="195">
        <f t="shared" si="13"/>
        <v>780</v>
      </c>
      <c r="I55" s="194" t="s">
        <v>127</v>
      </c>
      <c r="J55" s="194">
        <f t="shared" si="11"/>
        <v>1.5132000000000001</v>
      </c>
      <c r="K55" s="243"/>
    </row>
    <row r="56" spans="1:11" ht="15" customHeight="1">
      <c r="A56" s="124"/>
      <c r="B56" s="194">
        <v>780</v>
      </c>
      <c r="C56" s="239" t="s">
        <v>30</v>
      </c>
      <c r="D56" s="196" t="s">
        <v>155</v>
      </c>
      <c r="E56" s="195">
        <f t="shared" si="12"/>
        <v>95.823095823095812</v>
      </c>
      <c r="F56" s="195">
        <v>3.7</v>
      </c>
      <c r="G56" s="195">
        <v>2.2000000000000002</v>
      </c>
      <c r="H56" s="195">
        <f t="shared" si="13"/>
        <v>780</v>
      </c>
      <c r="I56" s="194" t="s">
        <v>127</v>
      </c>
      <c r="J56" s="194">
        <f t="shared" si="11"/>
        <v>1.5132000000000001</v>
      </c>
      <c r="K56" s="243"/>
    </row>
    <row r="57" spans="1:11" ht="15" customHeight="1">
      <c r="A57" s="125"/>
      <c r="B57" s="194">
        <v>780</v>
      </c>
      <c r="C57" s="239" t="s">
        <v>30</v>
      </c>
      <c r="D57" s="196" t="s">
        <v>155</v>
      </c>
      <c r="E57" s="195">
        <f t="shared" si="12"/>
        <v>95.823095823095812</v>
      </c>
      <c r="F57" s="195">
        <v>3.7</v>
      </c>
      <c r="G57" s="195">
        <v>2.2000000000000002</v>
      </c>
      <c r="H57" s="195">
        <f t="shared" si="13"/>
        <v>780</v>
      </c>
      <c r="I57" s="194" t="s">
        <v>127</v>
      </c>
      <c r="J57" s="194">
        <f t="shared" si="11"/>
        <v>1.5132000000000001</v>
      </c>
      <c r="K57" s="244"/>
    </row>
    <row r="58" spans="1:11" ht="15" customHeight="1">
      <c r="A58" s="100"/>
      <c r="B58" s="190"/>
      <c r="C58" s="198"/>
      <c r="D58" s="199"/>
      <c r="E58" s="190"/>
      <c r="F58" s="190"/>
      <c r="G58" s="190"/>
      <c r="H58" s="187"/>
      <c r="I58" s="190"/>
      <c r="J58" s="200"/>
      <c r="K58" s="210"/>
    </row>
    <row r="59" spans="1:11">
      <c r="A59" s="245" t="s">
        <v>32</v>
      </c>
      <c r="B59" s="236"/>
      <c r="C59" s="201"/>
      <c r="D59" s="201"/>
      <c r="E59" s="201"/>
      <c r="F59" s="201"/>
      <c r="G59" s="201"/>
      <c r="H59" s="195"/>
      <c r="I59" s="201"/>
      <c r="J59" s="202"/>
      <c r="K59" s="210"/>
    </row>
    <row r="60" spans="1:11" ht="30">
      <c r="A60" s="97" t="s">
        <v>96</v>
      </c>
      <c r="B60" s="187">
        <v>10</v>
      </c>
      <c r="C60" s="204" t="s">
        <v>169</v>
      </c>
      <c r="D60" s="205" t="s">
        <v>170</v>
      </c>
      <c r="E60" s="187">
        <v>200</v>
      </c>
      <c r="F60" s="187">
        <v>1</v>
      </c>
      <c r="G60" s="187">
        <v>1</v>
      </c>
      <c r="H60" s="195">
        <f t="shared" si="9"/>
        <v>200</v>
      </c>
      <c r="I60" s="187" t="s">
        <v>127</v>
      </c>
      <c r="J60" s="187">
        <f>81940/100000</f>
        <v>0.81940000000000002</v>
      </c>
      <c r="K60" s="226" t="s">
        <v>473</v>
      </c>
    </row>
    <row r="61" spans="1:11">
      <c r="A61" s="114" t="s">
        <v>98</v>
      </c>
      <c r="B61" s="206"/>
      <c r="C61" s="207"/>
      <c r="D61" s="196"/>
      <c r="E61" s="195"/>
      <c r="F61" s="195"/>
      <c r="G61" s="195"/>
      <c r="H61" s="195"/>
      <c r="I61" s="187"/>
      <c r="J61" s="194"/>
      <c r="K61" s="37"/>
    </row>
    <row r="62" spans="1:11" ht="30">
      <c r="A62" s="112"/>
      <c r="B62" s="206">
        <v>20</v>
      </c>
      <c r="C62" s="248" t="s">
        <v>115</v>
      </c>
      <c r="D62" s="37" t="s">
        <v>168</v>
      </c>
      <c r="E62" s="195">
        <v>35</v>
      </c>
      <c r="F62" s="195">
        <v>3.5</v>
      </c>
      <c r="G62" s="195">
        <v>0.1</v>
      </c>
      <c r="H62" s="195">
        <f t="shared" si="9"/>
        <v>12.250000000000002</v>
      </c>
      <c r="I62" s="187" t="s">
        <v>127</v>
      </c>
      <c r="J62" s="194">
        <f>53880/100000</f>
        <v>0.53879999999999995</v>
      </c>
      <c r="K62" s="226" t="s">
        <v>474</v>
      </c>
    </row>
    <row r="63" spans="1:11" ht="30">
      <c r="A63" s="113"/>
      <c r="B63" s="206">
        <v>100</v>
      </c>
      <c r="C63" s="248" t="s">
        <v>115</v>
      </c>
      <c r="D63" s="196" t="s">
        <v>172</v>
      </c>
      <c r="E63" s="195">
        <v>90</v>
      </c>
      <c r="F63" s="195">
        <v>3.5</v>
      </c>
      <c r="G63" s="195">
        <v>0.1</v>
      </c>
      <c r="H63" s="195">
        <f>G63*F63*E63</f>
        <v>31.500000000000004</v>
      </c>
      <c r="I63" s="187" t="s">
        <v>127</v>
      </c>
      <c r="J63" s="194">
        <f>B63*194/100000</f>
        <v>0.19400000000000001</v>
      </c>
      <c r="K63" s="289" t="s">
        <v>475</v>
      </c>
    </row>
    <row r="64" spans="1:11" ht="30">
      <c r="A64" s="115" t="s">
        <v>114</v>
      </c>
      <c r="B64" s="194">
        <v>59</v>
      </c>
      <c r="C64" s="288" t="s">
        <v>173</v>
      </c>
      <c r="D64" s="209" t="s">
        <v>174</v>
      </c>
      <c r="E64" s="195">
        <v>7.5</v>
      </c>
      <c r="F64" s="195">
        <v>3.65</v>
      </c>
      <c r="G64" s="195">
        <v>3.05</v>
      </c>
      <c r="H64" s="195">
        <f t="shared" si="9"/>
        <v>83.493749999999991</v>
      </c>
      <c r="I64" s="187" t="s">
        <v>127</v>
      </c>
      <c r="J64" s="194">
        <f>159586/100000</f>
        <v>1.5958600000000001</v>
      </c>
      <c r="K64" s="226" t="s">
        <v>476</v>
      </c>
    </row>
    <row r="65" spans="1:11" ht="30">
      <c r="A65" s="115"/>
      <c r="B65" s="206">
        <v>1372</v>
      </c>
      <c r="C65" s="207" t="s">
        <v>134</v>
      </c>
      <c r="D65" s="196" t="s">
        <v>171</v>
      </c>
      <c r="E65" s="195">
        <f>1/(F65*G65)*B65</f>
        <v>130.66666666666666</v>
      </c>
      <c r="F65" s="195">
        <v>3.5</v>
      </c>
      <c r="G65" s="195">
        <v>3</v>
      </c>
      <c r="H65" s="195">
        <f>G65*F65*E65</f>
        <v>1372</v>
      </c>
      <c r="I65" s="187" t="s">
        <v>127</v>
      </c>
      <c r="J65" s="194">
        <f>B65*194/100000</f>
        <v>2.66168</v>
      </c>
      <c r="K65" s="247" t="s">
        <v>477</v>
      </c>
    </row>
    <row r="66" spans="1:11">
      <c r="A66" s="66"/>
      <c r="B66" s="214">
        <f>SUM(B11:B65)</f>
        <v>42300</v>
      </c>
      <c r="C66" s="251"/>
      <c r="D66" s="252"/>
      <c r="E66" s="213"/>
      <c r="F66" s="213"/>
      <c r="G66" s="213"/>
      <c r="H66" s="213"/>
      <c r="I66" s="213"/>
      <c r="J66" s="290">
        <f>SUM(J11:J65)</f>
        <v>91.17999999999995</v>
      </c>
      <c r="K66" s="210"/>
    </row>
    <row r="67" spans="1:11">
      <c r="A67" s="66"/>
      <c r="B67" s="214"/>
      <c r="C67" s="210"/>
      <c r="D67" s="210"/>
      <c r="E67" s="210"/>
      <c r="F67" s="210"/>
      <c r="G67" s="210"/>
      <c r="H67" s="210"/>
      <c r="I67" s="210"/>
      <c r="J67" s="215">
        <f>E4/100000</f>
        <v>91.18</v>
      </c>
      <c r="K67" s="210"/>
    </row>
    <row r="68" spans="1:11">
      <c r="A68" s="66"/>
      <c r="B68" s="254">
        <f>B3*100</f>
        <v>42300</v>
      </c>
      <c r="C68" s="210"/>
      <c r="D68" s="210"/>
      <c r="E68" s="210"/>
      <c r="F68" s="210"/>
      <c r="G68" s="210"/>
      <c r="H68" s="210"/>
      <c r="I68" s="210"/>
      <c r="J68" s="255">
        <f>E2/100000</f>
        <v>82.061999999999998</v>
      </c>
      <c r="K68" s="210"/>
    </row>
    <row r="69" spans="1:11">
      <c r="A69" s="256" t="s">
        <v>38</v>
      </c>
      <c r="B69" s="210"/>
      <c r="C69" s="257">
        <f>E2/100000</f>
        <v>82.061999999999998</v>
      </c>
      <c r="D69" s="258" t="s">
        <v>39</v>
      </c>
      <c r="E69" s="210"/>
      <c r="F69" s="210"/>
      <c r="G69" s="210"/>
      <c r="H69" s="210"/>
      <c r="I69" s="210"/>
      <c r="J69" s="210"/>
      <c r="K69" s="210"/>
    </row>
    <row r="70" spans="1:11">
      <c r="A70" s="256" t="s">
        <v>40</v>
      </c>
      <c r="B70" s="210"/>
      <c r="C70" s="257">
        <f>C69*(1/9)</f>
        <v>9.1179999999999986</v>
      </c>
      <c r="D70" s="258" t="s">
        <v>39</v>
      </c>
      <c r="E70" s="210"/>
      <c r="F70" s="210"/>
      <c r="G70" s="210"/>
      <c r="H70" s="210"/>
      <c r="I70" s="210"/>
      <c r="J70" s="210"/>
      <c r="K70" s="210"/>
    </row>
    <row r="71" spans="1:11">
      <c r="A71" s="258" t="s">
        <v>108</v>
      </c>
      <c r="B71" s="210"/>
      <c r="C71" s="210"/>
      <c r="D71" s="210"/>
      <c r="E71" s="210"/>
      <c r="F71" s="210"/>
      <c r="G71" s="210"/>
      <c r="H71" s="210"/>
      <c r="I71" s="210"/>
      <c r="J71" s="259"/>
      <c r="K71" s="210"/>
    </row>
    <row r="72" spans="1:1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</row>
    <row r="73" spans="1:1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</row>
    <row r="74" spans="1:1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</row>
    <row r="75" spans="1:1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</row>
    <row r="76" spans="1:1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</row>
    <row r="77" spans="1:1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</row>
    <row r="78" spans="1:1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</sheetData>
  <mergeCells count="22">
    <mergeCell ref="A64:A65"/>
    <mergeCell ref="A13:A15"/>
    <mergeCell ref="A16:A29"/>
    <mergeCell ref="A35:A36"/>
    <mergeCell ref="A37:A57"/>
    <mergeCell ref="K7:K9"/>
    <mergeCell ref="K16:K21"/>
    <mergeCell ref="K23:K31"/>
    <mergeCell ref="K37:K57"/>
    <mergeCell ref="A61:A63"/>
    <mergeCell ref="A7:A8"/>
    <mergeCell ref="B7:B8"/>
    <mergeCell ref="C7:C8"/>
    <mergeCell ref="D7:D8"/>
    <mergeCell ref="E7:I8"/>
    <mergeCell ref="A10:J10"/>
    <mergeCell ref="J7:J9"/>
    <mergeCell ref="E2:G2"/>
    <mergeCell ref="E3:G3"/>
    <mergeCell ref="E4:G4"/>
    <mergeCell ref="E5:G5"/>
    <mergeCell ref="E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K65"/>
  <sheetViews>
    <sheetView topLeftCell="A30" zoomScale="98" zoomScaleNormal="98" workbookViewId="0">
      <selection activeCell="A17" sqref="A17:K59"/>
    </sheetView>
  </sheetViews>
  <sheetFormatPr defaultColWidth="9.140625" defaultRowHeight="16.5" customHeight="1"/>
  <cols>
    <col min="1" max="1" width="14.85546875" style="32" customWidth="1"/>
    <col min="2" max="2" width="10.140625" style="32" customWidth="1"/>
    <col min="3" max="3" width="20.28515625" style="32" customWidth="1"/>
    <col min="4" max="4" width="22.85546875" style="32" customWidth="1"/>
    <col min="5" max="5" width="14.7109375" style="32" bestFit="1" customWidth="1"/>
    <col min="6" max="6" width="6.5703125" style="32" bestFit="1" customWidth="1"/>
    <col min="7" max="7" width="7.5703125" style="32" bestFit="1" customWidth="1"/>
    <col min="8" max="8" width="13.28515625" style="32" customWidth="1"/>
    <col min="9" max="9" width="14.28515625" style="32" customWidth="1"/>
    <col min="10" max="10" width="15.85546875" style="32" customWidth="1"/>
    <col min="11" max="11" width="19.85546875" style="32" bestFit="1" customWidth="1"/>
    <col min="12" max="16384" width="9.140625" style="32"/>
  </cols>
  <sheetData>
    <row r="1" spans="1:11" ht="16.5" customHeight="1">
      <c r="A1" s="10" t="s">
        <v>150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</row>
    <row r="2" spans="1:11" ht="16.5" customHeight="1">
      <c r="A2" s="2"/>
      <c r="B2" s="6"/>
      <c r="C2" s="3"/>
      <c r="D2" s="3" t="s">
        <v>0</v>
      </c>
      <c r="E2" s="138">
        <f>B3*194*100</f>
        <v>4209800</v>
      </c>
      <c r="F2" s="138"/>
      <c r="G2" s="138"/>
      <c r="H2" s="68"/>
      <c r="I2" s="68"/>
      <c r="J2" s="9"/>
      <c r="K2" s="1"/>
    </row>
    <row r="3" spans="1:11" ht="16.5" customHeight="1">
      <c r="A3" s="10" t="s">
        <v>1</v>
      </c>
      <c r="B3" s="6">
        <v>217</v>
      </c>
      <c r="C3" s="3"/>
      <c r="D3" s="3" t="s">
        <v>2</v>
      </c>
      <c r="E3" s="139">
        <f>E2*1/9</f>
        <v>467755.55555555556</v>
      </c>
      <c r="F3" s="139"/>
      <c r="G3" s="139"/>
      <c r="H3" s="69"/>
      <c r="I3" s="69"/>
      <c r="J3" s="21"/>
      <c r="K3" s="1"/>
    </row>
    <row r="4" spans="1:11" ht="16.5" customHeight="1">
      <c r="A4" s="7"/>
      <c r="B4" s="5"/>
      <c r="C4" s="3"/>
      <c r="D4" s="3" t="s">
        <v>3</v>
      </c>
      <c r="E4" s="139">
        <f>SUM(E2:E3)</f>
        <v>4677555.555555556</v>
      </c>
      <c r="F4" s="139"/>
      <c r="G4" s="139"/>
      <c r="H4" s="69"/>
      <c r="I4" s="69"/>
      <c r="J4" s="9"/>
      <c r="K4" s="1"/>
    </row>
    <row r="5" spans="1:11" ht="16.5" customHeight="1">
      <c r="A5" s="7"/>
      <c r="B5" s="5"/>
      <c r="C5" s="3"/>
      <c r="D5" s="3" t="s">
        <v>4</v>
      </c>
      <c r="E5" s="139">
        <f>E4*0.06</f>
        <v>280653.33333333337</v>
      </c>
      <c r="F5" s="139"/>
      <c r="G5" s="139"/>
      <c r="H5" s="69"/>
      <c r="I5" s="69"/>
      <c r="J5" s="9"/>
      <c r="K5" s="1"/>
    </row>
    <row r="6" spans="1:11" ht="16.5" customHeight="1">
      <c r="A6" s="7"/>
      <c r="B6" s="5"/>
      <c r="C6" s="3"/>
      <c r="D6" s="3" t="s">
        <v>5</v>
      </c>
      <c r="E6" s="140">
        <f>SUM(E4:E5)</f>
        <v>4958208.888888889</v>
      </c>
      <c r="F6" s="140"/>
      <c r="G6" s="140"/>
      <c r="H6" s="57"/>
      <c r="I6" s="57"/>
      <c r="J6" s="9"/>
      <c r="K6" s="1"/>
    </row>
    <row r="7" spans="1:11" ht="16.5" customHeight="1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574</v>
      </c>
      <c r="K7" s="162" t="s">
        <v>119</v>
      </c>
    </row>
    <row r="8" spans="1:11" ht="16.5" customHeight="1">
      <c r="A8" s="117"/>
      <c r="B8" s="118"/>
      <c r="C8" s="120"/>
      <c r="D8" s="122"/>
      <c r="E8" s="129"/>
      <c r="F8" s="130"/>
      <c r="G8" s="130"/>
      <c r="H8" s="130"/>
      <c r="I8" s="131"/>
      <c r="J8" s="149"/>
      <c r="K8" s="162"/>
    </row>
    <row r="9" spans="1:11" ht="16.5" customHeight="1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111"/>
      <c r="K9" s="162"/>
    </row>
    <row r="10" spans="1:11" ht="16.5" customHeight="1">
      <c r="A10" s="146" t="s">
        <v>11</v>
      </c>
      <c r="B10" s="147"/>
      <c r="C10" s="147"/>
      <c r="D10" s="147"/>
      <c r="E10" s="147"/>
      <c r="F10" s="147"/>
      <c r="G10" s="147"/>
      <c r="H10" s="147"/>
      <c r="I10" s="147"/>
      <c r="J10" s="148"/>
      <c r="K10" s="1"/>
    </row>
    <row r="11" spans="1:11" ht="16.5" customHeight="1">
      <c r="A11" s="174" t="s">
        <v>12</v>
      </c>
      <c r="B11" s="178">
        <v>216</v>
      </c>
      <c r="C11" s="177" t="s">
        <v>189</v>
      </c>
      <c r="D11" s="73" t="s">
        <v>55</v>
      </c>
      <c r="E11" s="181">
        <f>1/(F11*G11)*B11</f>
        <v>18</v>
      </c>
      <c r="F11" s="182">
        <v>6</v>
      </c>
      <c r="G11" s="182">
        <v>2</v>
      </c>
      <c r="H11" s="182">
        <f>G11*F11*E11</f>
        <v>216</v>
      </c>
      <c r="I11" s="109" t="s">
        <v>126</v>
      </c>
      <c r="J11" s="101">
        <f>B11*194/100000</f>
        <v>0.41904000000000002</v>
      </c>
      <c r="K11" s="108" t="s">
        <v>478</v>
      </c>
    </row>
    <row r="12" spans="1:11" ht="16.5" customHeight="1">
      <c r="A12" s="175"/>
      <c r="B12" s="179"/>
      <c r="C12" s="177"/>
      <c r="D12" s="73" t="s">
        <v>175</v>
      </c>
      <c r="E12" s="181"/>
      <c r="F12" s="182"/>
      <c r="G12" s="182"/>
      <c r="H12" s="182"/>
      <c r="I12" s="109"/>
      <c r="J12" s="102"/>
      <c r="K12" s="108"/>
    </row>
    <row r="13" spans="1:11" ht="16.5" customHeight="1">
      <c r="A13" s="176"/>
      <c r="B13" s="180"/>
      <c r="C13" s="177"/>
      <c r="D13" s="73" t="s">
        <v>190</v>
      </c>
      <c r="E13" s="181"/>
      <c r="F13" s="182"/>
      <c r="G13" s="182"/>
      <c r="H13" s="182"/>
      <c r="I13" s="109"/>
      <c r="J13" s="103"/>
      <c r="K13" s="108"/>
    </row>
    <row r="14" spans="1:11" ht="16.5" customHeight="1">
      <c r="A14" s="72" t="s">
        <v>151</v>
      </c>
      <c r="B14" s="18">
        <v>100</v>
      </c>
      <c r="C14" s="12" t="s">
        <v>152</v>
      </c>
      <c r="D14" s="16" t="s">
        <v>59</v>
      </c>
      <c r="E14" s="17">
        <v>3</v>
      </c>
      <c r="F14" s="70">
        <v>3</v>
      </c>
      <c r="G14" s="17">
        <v>2</v>
      </c>
      <c r="H14" s="70">
        <f t="shared" ref="H14:H23" si="0">G14*F14*E14</f>
        <v>18</v>
      </c>
      <c r="I14" s="18" t="s">
        <v>127</v>
      </c>
      <c r="J14" s="18">
        <f>46032/100000</f>
        <v>0.46032000000000001</v>
      </c>
      <c r="K14" s="86" t="s">
        <v>479</v>
      </c>
    </row>
    <row r="15" spans="1:11" ht="16.5" customHeight="1">
      <c r="A15" s="116" t="s">
        <v>15</v>
      </c>
      <c r="B15" s="18">
        <v>169</v>
      </c>
      <c r="C15" s="11" t="s">
        <v>16</v>
      </c>
      <c r="D15" s="16" t="s">
        <v>59</v>
      </c>
      <c r="E15" s="17">
        <f t="shared" ref="E15:E16" si="1">1/(F15*G15)*B15</f>
        <v>1877.7777777777776</v>
      </c>
      <c r="F15" s="70">
        <v>0.3</v>
      </c>
      <c r="G15" s="17">
        <v>0.3</v>
      </c>
      <c r="H15" s="70">
        <f t="shared" si="0"/>
        <v>168.99999999999997</v>
      </c>
      <c r="I15" s="18" t="s">
        <v>127</v>
      </c>
      <c r="J15" s="18">
        <f>B15*194/100000</f>
        <v>0.32785999999999998</v>
      </c>
      <c r="K15" s="85" t="s">
        <v>480</v>
      </c>
    </row>
    <row r="16" spans="1:11" ht="16.5" customHeight="1">
      <c r="A16" s="116"/>
      <c r="B16" s="18">
        <v>160</v>
      </c>
      <c r="C16" s="12" t="s">
        <v>188</v>
      </c>
      <c r="D16" s="16" t="s">
        <v>59</v>
      </c>
      <c r="E16" s="17">
        <f t="shared" si="1"/>
        <v>1777.7777777777778</v>
      </c>
      <c r="F16" s="70">
        <v>0.3</v>
      </c>
      <c r="G16" s="17">
        <v>0.3</v>
      </c>
      <c r="H16" s="70">
        <f t="shared" si="0"/>
        <v>160</v>
      </c>
      <c r="I16" s="18" t="s">
        <v>127</v>
      </c>
      <c r="J16" s="18">
        <f>B16*194/100000</f>
        <v>0.31040000000000001</v>
      </c>
      <c r="K16" s="85" t="s">
        <v>481</v>
      </c>
    </row>
    <row r="17" spans="1:11" ht="16.5" customHeight="1">
      <c r="A17" s="272" t="s">
        <v>19</v>
      </c>
      <c r="B17" s="194">
        <v>1500</v>
      </c>
      <c r="C17" s="229" t="s">
        <v>20</v>
      </c>
      <c r="D17" s="196" t="s">
        <v>175</v>
      </c>
      <c r="E17" s="195">
        <f t="shared" ref="E17:E23" si="2">1/(F17*G17)*B17</f>
        <v>1000</v>
      </c>
      <c r="F17" s="217">
        <v>1.5</v>
      </c>
      <c r="G17" s="195">
        <v>1</v>
      </c>
      <c r="H17" s="217">
        <f t="shared" si="0"/>
        <v>1500</v>
      </c>
      <c r="I17" s="194" t="s">
        <v>127</v>
      </c>
      <c r="J17" s="194">
        <f t="shared" ref="J17:J28" si="3">B17*194/100000</f>
        <v>2.91</v>
      </c>
      <c r="K17" s="275" t="s">
        <v>482</v>
      </c>
    </row>
    <row r="18" spans="1:11" ht="16.5" customHeight="1">
      <c r="A18" s="274"/>
      <c r="B18" s="194">
        <v>1500</v>
      </c>
      <c r="C18" s="229" t="s">
        <v>20</v>
      </c>
      <c r="D18" s="196" t="s">
        <v>177</v>
      </c>
      <c r="E18" s="195">
        <f t="shared" si="2"/>
        <v>1000</v>
      </c>
      <c r="F18" s="195">
        <v>1.5</v>
      </c>
      <c r="G18" s="195">
        <v>1</v>
      </c>
      <c r="H18" s="217">
        <f t="shared" si="0"/>
        <v>1500</v>
      </c>
      <c r="I18" s="194" t="s">
        <v>127</v>
      </c>
      <c r="J18" s="194">
        <f t="shared" si="3"/>
        <v>2.91</v>
      </c>
      <c r="K18" s="276"/>
    </row>
    <row r="19" spans="1:11" ht="16.5" customHeight="1">
      <c r="A19" s="274"/>
      <c r="B19" s="194">
        <v>1500</v>
      </c>
      <c r="C19" s="229" t="s">
        <v>20</v>
      </c>
      <c r="D19" s="196" t="s">
        <v>178</v>
      </c>
      <c r="E19" s="195">
        <f t="shared" si="2"/>
        <v>1000</v>
      </c>
      <c r="F19" s="195">
        <v>1.5</v>
      </c>
      <c r="G19" s="195">
        <v>1</v>
      </c>
      <c r="H19" s="217">
        <f t="shared" si="0"/>
        <v>1500</v>
      </c>
      <c r="I19" s="194" t="s">
        <v>127</v>
      </c>
      <c r="J19" s="194">
        <f t="shared" si="3"/>
        <v>2.91</v>
      </c>
      <c r="K19" s="276"/>
    </row>
    <row r="20" spans="1:11" ht="16.5" customHeight="1">
      <c r="A20" s="274"/>
      <c r="B20" s="194">
        <v>1500</v>
      </c>
      <c r="C20" s="262" t="s">
        <v>179</v>
      </c>
      <c r="D20" s="196" t="s">
        <v>178</v>
      </c>
      <c r="E20" s="195">
        <f t="shared" si="2"/>
        <v>1000</v>
      </c>
      <c r="F20" s="195">
        <v>1.5</v>
      </c>
      <c r="G20" s="195">
        <v>1</v>
      </c>
      <c r="H20" s="217">
        <f t="shared" si="0"/>
        <v>1500</v>
      </c>
      <c r="I20" s="194" t="s">
        <v>127</v>
      </c>
      <c r="J20" s="194">
        <f t="shared" si="3"/>
        <v>2.91</v>
      </c>
      <c r="K20" s="276"/>
    </row>
    <row r="21" spans="1:11" ht="16.5" customHeight="1">
      <c r="A21" s="274"/>
      <c r="B21" s="194">
        <v>1500</v>
      </c>
      <c r="C21" s="262" t="s">
        <v>179</v>
      </c>
      <c r="D21" s="196" t="s">
        <v>175</v>
      </c>
      <c r="E21" s="195">
        <f t="shared" si="2"/>
        <v>1000</v>
      </c>
      <c r="F21" s="195">
        <v>1.5</v>
      </c>
      <c r="G21" s="195">
        <v>1</v>
      </c>
      <c r="H21" s="217">
        <f t="shared" si="0"/>
        <v>1500</v>
      </c>
      <c r="I21" s="194" t="s">
        <v>127</v>
      </c>
      <c r="J21" s="194">
        <f t="shared" si="3"/>
        <v>2.91</v>
      </c>
      <c r="K21" s="276"/>
    </row>
    <row r="22" spans="1:11" ht="16.5" customHeight="1">
      <c r="A22" s="274"/>
      <c r="B22" s="194">
        <v>1500</v>
      </c>
      <c r="C22" s="262" t="s">
        <v>129</v>
      </c>
      <c r="D22" s="196" t="s">
        <v>175</v>
      </c>
      <c r="E22" s="195">
        <f t="shared" si="2"/>
        <v>1500</v>
      </c>
      <c r="F22" s="195">
        <v>1</v>
      </c>
      <c r="G22" s="195">
        <v>1</v>
      </c>
      <c r="H22" s="217">
        <f t="shared" si="0"/>
        <v>1500</v>
      </c>
      <c r="I22" s="194" t="s">
        <v>127</v>
      </c>
      <c r="J22" s="194">
        <f t="shared" si="3"/>
        <v>2.91</v>
      </c>
      <c r="K22" s="276"/>
    </row>
    <row r="23" spans="1:11" ht="16.5" customHeight="1">
      <c r="A23" s="274"/>
      <c r="B23" s="194">
        <v>1500</v>
      </c>
      <c r="C23" s="262" t="s">
        <v>129</v>
      </c>
      <c r="D23" s="196" t="s">
        <v>178</v>
      </c>
      <c r="E23" s="195">
        <f t="shared" si="2"/>
        <v>1500</v>
      </c>
      <c r="F23" s="195">
        <v>1</v>
      </c>
      <c r="G23" s="195">
        <v>1</v>
      </c>
      <c r="H23" s="217">
        <f t="shared" si="0"/>
        <v>1500</v>
      </c>
      <c r="I23" s="194" t="s">
        <v>127</v>
      </c>
      <c r="J23" s="194">
        <f t="shared" si="3"/>
        <v>2.91</v>
      </c>
      <c r="K23" s="276"/>
    </row>
    <row r="24" spans="1:11" ht="16.5" customHeight="1">
      <c r="A24" s="274"/>
      <c r="B24" s="194">
        <v>1500</v>
      </c>
      <c r="C24" s="262" t="s">
        <v>129</v>
      </c>
      <c r="D24" s="196" t="s">
        <v>180</v>
      </c>
      <c r="E24" s="195">
        <f>1/(F24*G24)*B24</f>
        <v>75</v>
      </c>
      <c r="F24" s="195">
        <v>20</v>
      </c>
      <c r="G24" s="195">
        <v>1</v>
      </c>
      <c r="H24" s="217">
        <f>G24*F24*E24</f>
        <v>1500</v>
      </c>
      <c r="I24" s="194" t="s">
        <v>127</v>
      </c>
      <c r="J24" s="194">
        <f t="shared" si="3"/>
        <v>2.91</v>
      </c>
      <c r="K24" s="278"/>
    </row>
    <row r="25" spans="1:11" ht="16.5" customHeight="1">
      <c r="A25" s="274"/>
      <c r="B25" s="194"/>
      <c r="C25" s="262"/>
      <c r="D25" s="196"/>
      <c r="E25" s="195"/>
      <c r="F25" s="195"/>
      <c r="G25" s="195"/>
      <c r="H25" s="217"/>
      <c r="I25" s="194"/>
      <c r="J25" s="194"/>
      <c r="K25" s="210"/>
    </row>
    <row r="26" spans="1:11" ht="16.5" customHeight="1">
      <c r="A26" s="274"/>
      <c r="B26" s="194">
        <v>1500</v>
      </c>
      <c r="C26" s="262" t="s">
        <v>185</v>
      </c>
      <c r="D26" s="196" t="s">
        <v>186</v>
      </c>
      <c r="E26" s="195">
        <f t="shared" ref="E26:E28" si="4">1/(F26*G26)*B26</f>
        <v>75</v>
      </c>
      <c r="F26" s="195">
        <v>20</v>
      </c>
      <c r="G26" s="195">
        <v>1</v>
      </c>
      <c r="H26" s="217">
        <f t="shared" ref="H26:H28" si="5">G26*F26*E26</f>
        <v>1500</v>
      </c>
      <c r="I26" s="194" t="s">
        <v>127</v>
      </c>
      <c r="J26" s="194">
        <f t="shared" si="3"/>
        <v>2.91</v>
      </c>
      <c r="K26" s="242" t="s">
        <v>483</v>
      </c>
    </row>
    <row r="27" spans="1:11" ht="16.5" customHeight="1">
      <c r="A27" s="274"/>
      <c r="B27" s="194">
        <v>1500</v>
      </c>
      <c r="C27" s="262" t="s">
        <v>185</v>
      </c>
      <c r="D27" s="196" t="s">
        <v>187</v>
      </c>
      <c r="E27" s="195">
        <f t="shared" si="4"/>
        <v>75</v>
      </c>
      <c r="F27" s="195">
        <v>20</v>
      </c>
      <c r="G27" s="195">
        <v>1</v>
      </c>
      <c r="H27" s="217">
        <f t="shared" si="5"/>
        <v>1500</v>
      </c>
      <c r="I27" s="194" t="s">
        <v>127</v>
      </c>
      <c r="J27" s="194">
        <f t="shared" si="3"/>
        <v>2.91</v>
      </c>
      <c r="K27" s="243"/>
    </row>
    <row r="28" spans="1:11" ht="16.5" customHeight="1">
      <c r="A28" s="274"/>
      <c r="B28" s="194">
        <v>1500</v>
      </c>
      <c r="C28" s="262" t="s">
        <v>185</v>
      </c>
      <c r="D28" s="196" t="s">
        <v>56</v>
      </c>
      <c r="E28" s="195">
        <f t="shared" si="4"/>
        <v>75</v>
      </c>
      <c r="F28" s="195">
        <v>20</v>
      </c>
      <c r="G28" s="195">
        <v>1</v>
      </c>
      <c r="H28" s="217">
        <f t="shared" si="5"/>
        <v>1500</v>
      </c>
      <c r="I28" s="194" t="s">
        <v>127</v>
      </c>
      <c r="J28" s="194">
        <f t="shared" si="3"/>
        <v>2.91</v>
      </c>
      <c r="K28" s="244"/>
    </row>
    <row r="29" spans="1:11" ht="16.5" customHeight="1">
      <c r="A29" s="274"/>
      <c r="B29" s="291"/>
      <c r="C29" s="291"/>
      <c r="D29" s="291"/>
      <c r="E29" s="291"/>
      <c r="F29" s="291"/>
      <c r="G29" s="291"/>
      <c r="H29" s="291"/>
      <c r="I29" s="291"/>
      <c r="J29" s="291"/>
      <c r="K29" s="210"/>
    </row>
    <row r="30" spans="1:11" ht="16.5" customHeight="1">
      <c r="A30" s="201" t="s">
        <v>21</v>
      </c>
      <c r="B30" s="236"/>
      <c r="C30" s="201"/>
      <c r="D30" s="201"/>
      <c r="E30" s="201"/>
      <c r="F30" s="201"/>
      <c r="G30" s="201"/>
      <c r="H30" s="201"/>
      <c r="I30" s="201"/>
      <c r="J30" s="201"/>
      <c r="K30" s="210"/>
    </row>
    <row r="31" spans="1:11" ht="16.5" customHeight="1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10"/>
    </row>
    <row r="32" spans="1:11" ht="16.5" customHeight="1">
      <c r="A32" s="115" t="s">
        <v>28</v>
      </c>
      <c r="B32" s="194">
        <v>5</v>
      </c>
      <c r="C32" s="196" t="s">
        <v>66</v>
      </c>
      <c r="D32" s="37" t="s">
        <v>198</v>
      </c>
      <c r="E32" s="195">
        <v>3.05</v>
      </c>
      <c r="F32" s="195">
        <v>2</v>
      </c>
      <c r="G32" s="195">
        <v>2.2000000000000002</v>
      </c>
      <c r="H32" s="195">
        <f t="shared" ref="H32:H47" si="6">G32*F32*E32</f>
        <v>13.42</v>
      </c>
      <c r="I32" s="194" t="s">
        <v>577</v>
      </c>
      <c r="J32" s="194">
        <f>90000/100000</f>
        <v>0.9</v>
      </c>
      <c r="K32" s="226" t="s">
        <v>484</v>
      </c>
    </row>
    <row r="33" spans="1:11" ht="16.5" customHeight="1">
      <c r="A33" s="115"/>
      <c r="B33" s="194">
        <v>10</v>
      </c>
      <c r="C33" s="35" t="s">
        <v>67</v>
      </c>
      <c r="D33" s="37" t="s">
        <v>116</v>
      </c>
      <c r="E33" s="195">
        <v>3.05</v>
      </c>
      <c r="F33" s="195">
        <v>2</v>
      </c>
      <c r="G33" s="195">
        <v>2.2000000000000002</v>
      </c>
      <c r="H33" s="195">
        <f t="shared" si="6"/>
        <v>13.42</v>
      </c>
      <c r="I33" s="194" t="s">
        <v>577</v>
      </c>
      <c r="J33" s="194">
        <f>120000/100000</f>
        <v>1.2</v>
      </c>
      <c r="K33" s="226" t="s">
        <v>485</v>
      </c>
    </row>
    <row r="34" spans="1:11" ht="16.5" customHeight="1">
      <c r="A34" s="123" t="s">
        <v>29</v>
      </c>
      <c r="B34" s="194">
        <v>780</v>
      </c>
      <c r="C34" s="209" t="s">
        <v>30</v>
      </c>
      <c r="D34" s="196" t="s">
        <v>181</v>
      </c>
      <c r="E34" s="195">
        <f t="shared" ref="E34:E38" si="7">1/(F34*G34)*B34</f>
        <v>95.823095823095812</v>
      </c>
      <c r="F34" s="195">
        <v>3.7</v>
      </c>
      <c r="G34" s="195">
        <v>2.2000000000000002</v>
      </c>
      <c r="H34" s="195">
        <f t="shared" si="6"/>
        <v>780</v>
      </c>
      <c r="I34" s="194" t="s">
        <v>127</v>
      </c>
      <c r="J34" s="194">
        <f>B34*194/100000</f>
        <v>1.5132000000000001</v>
      </c>
      <c r="K34" s="242" t="s">
        <v>486</v>
      </c>
    </row>
    <row r="35" spans="1:11" ht="16.5" customHeight="1">
      <c r="A35" s="124"/>
      <c r="B35" s="194">
        <v>780</v>
      </c>
      <c r="C35" s="239" t="s">
        <v>30</v>
      </c>
      <c r="D35" s="196" t="s">
        <v>182</v>
      </c>
      <c r="E35" s="195">
        <f t="shared" si="7"/>
        <v>95.823095823095812</v>
      </c>
      <c r="F35" s="195">
        <v>3.7</v>
      </c>
      <c r="G35" s="195">
        <v>2.2000000000000002</v>
      </c>
      <c r="H35" s="195">
        <f t="shared" si="6"/>
        <v>780</v>
      </c>
      <c r="I35" s="194" t="s">
        <v>127</v>
      </c>
      <c r="J35" s="194">
        <f t="shared" ref="J35:J38" si="8">B35*194/100000</f>
        <v>1.5132000000000001</v>
      </c>
      <c r="K35" s="243"/>
    </row>
    <row r="36" spans="1:11" ht="16.5" customHeight="1">
      <c r="A36" s="124"/>
      <c r="B36" s="194">
        <v>780</v>
      </c>
      <c r="C36" s="239" t="s">
        <v>30</v>
      </c>
      <c r="D36" s="196" t="s">
        <v>183</v>
      </c>
      <c r="E36" s="195">
        <f t="shared" si="7"/>
        <v>95.823095823095812</v>
      </c>
      <c r="F36" s="195">
        <v>3.7</v>
      </c>
      <c r="G36" s="195">
        <v>2.2000000000000002</v>
      </c>
      <c r="H36" s="195">
        <f t="shared" si="6"/>
        <v>780</v>
      </c>
      <c r="I36" s="194" t="s">
        <v>127</v>
      </c>
      <c r="J36" s="194">
        <f t="shared" si="8"/>
        <v>1.5132000000000001</v>
      </c>
      <c r="K36" s="243"/>
    </row>
    <row r="37" spans="1:11" ht="16.5" customHeight="1">
      <c r="A37" s="124"/>
      <c r="B37" s="194">
        <v>780</v>
      </c>
      <c r="C37" s="239" t="s">
        <v>30</v>
      </c>
      <c r="D37" s="196" t="s">
        <v>176</v>
      </c>
      <c r="E37" s="195">
        <f t="shared" si="7"/>
        <v>95.823095823095812</v>
      </c>
      <c r="F37" s="195">
        <v>3.7</v>
      </c>
      <c r="G37" s="195">
        <v>2.2000000000000002</v>
      </c>
      <c r="H37" s="195">
        <f t="shared" si="6"/>
        <v>780</v>
      </c>
      <c r="I37" s="194" t="s">
        <v>127</v>
      </c>
      <c r="J37" s="194">
        <f t="shared" si="8"/>
        <v>1.5132000000000001</v>
      </c>
      <c r="K37" s="243"/>
    </row>
    <row r="38" spans="1:11" ht="16.5" customHeight="1">
      <c r="A38" s="124"/>
      <c r="B38" s="194">
        <v>780</v>
      </c>
      <c r="C38" s="239" t="s">
        <v>30</v>
      </c>
      <c r="D38" s="196" t="s">
        <v>184</v>
      </c>
      <c r="E38" s="195">
        <f t="shared" si="7"/>
        <v>95.823095823095812</v>
      </c>
      <c r="F38" s="195">
        <v>3.7</v>
      </c>
      <c r="G38" s="195">
        <v>2.2000000000000002</v>
      </c>
      <c r="H38" s="195">
        <f t="shared" si="6"/>
        <v>780</v>
      </c>
      <c r="I38" s="194" t="s">
        <v>127</v>
      </c>
      <c r="J38" s="194">
        <f t="shared" si="8"/>
        <v>1.5132000000000001</v>
      </c>
      <c r="K38" s="244"/>
    </row>
    <row r="39" spans="1:11" ht="16.5" customHeight="1">
      <c r="A39" s="99"/>
      <c r="B39" s="190"/>
      <c r="C39" s="198"/>
      <c r="D39" s="199"/>
      <c r="E39" s="190"/>
      <c r="F39" s="190"/>
      <c r="G39" s="190"/>
      <c r="H39" s="187"/>
      <c r="I39" s="190"/>
      <c r="J39" s="200"/>
      <c r="K39" s="210"/>
    </row>
    <row r="40" spans="1:11" ht="16.5" customHeight="1">
      <c r="A40" s="245" t="s">
        <v>32</v>
      </c>
      <c r="B40" s="236"/>
      <c r="C40" s="201"/>
      <c r="D40" s="201"/>
      <c r="E40" s="201"/>
      <c r="F40" s="201"/>
      <c r="G40" s="201"/>
      <c r="H40" s="195"/>
      <c r="I40" s="201"/>
      <c r="J40" s="202"/>
      <c r="K40" s="210"/>
    </row>
    <row r="41" spans="1:11" ht="16.5" customHeight="1">
      <c r="A41" s="123" t="s">
        <v>96</v>
      </c>
      <c r="B41" s="187">
        <v>10</v>
      </c>
      <c r="C41" s="292" t="s">
        <v>194</v>
      </c>
      <c r="D41" s="205" t="s">
        <v>59</v>
      </c>
      <c r="E41" s="187">
        <v>200</v>
      </c>
      <c r="F41" s="187">
        <v>1</v>
      </c>
      <c r="G41" s="187">
        <v>1</v>
      </c>
      <c r="H41" s="195">
        <f t="shared" si="6"/>
        <v>200</v>
      </c>
      <c r="I41" s="187" t="s">
        <v>127</v>
      </c>
      <c r="J41" s="187">
        <f>36032/100000</f>
        <v>0.36031999999999997</v>
      </c>
      <c r="K41" s="226" t="s">
        <v>487</v>
      </c>
    </row>
    <row r="42" spans="1:11" ht="16.5" customHeight="1">
      <c r="A42" s="124"/>
      <c r="B42" s="293">
        <v>450</v>
      </c>
      <c r="C42" s="294" t="s">
        <v>117</v>
      </c>
      <c r="D42" s="205" t="s">
        <v>57</v>
      </c>
      <c r="E42" s="295">
        <f t="shared" ref="E42" si="9">1/(F42*G42)*B42</f>
        <v>450</v>
      </c>
      <c r="F42" s="295">
        <v>1</v>
      </c>
      <c r="G42" s="295">
        <v>1</v>
      </c>
      <c r="H42" s="295">
        <f t="shared" ref="H42" si="10">G42*F42*E42</f>
        <v>450</v>
      </c>
      <c r="I42" s="187" t="s">
        <v>127</v>
      </c>
      <c r="J42" s="293">
        <f>B42*194/100000</f>
        <v>0.873</v>
      </c>
      <c r="K42" s="242" t="s">
        <v>488</v>
      </c>
    </row>
    <row r="43" spans="1:11" ht="16.5" customHeight="1">
      <c r="A43" s="124"/>
      <c r="B43" s="296"/>
      <c r="C43" s="297"/>
      <c r="D43" s="205" t="s">
        <v>192</v>
      </c>
      <c r="E43" s="298"/>
      <c r="F43" s="298"/>
      <c r="G43" s="298"/>
      <c r="H43" s="298"/>
      <c r="I43" s="187" t="s">
        <v>127</v>
      </c>
      <c r="J43" s="296"/>
      <c r="K43" s="243"/>
    </row>
    <row r="44" spans="1:11" ht="16.5" customHeight="1">
      <c r="A44" s="125"/>
      <c r="B44" s="299"/>
      <c r="C44" s="300"/>
      <c r="D44" s="205" t="s">
        <v>193</v>
      </c>
      <c r="E44" s="301"/>
      <c r="F44" s="301"/>
      <c r="G44" s="301"/>
      <c r="H44" s="301"/>
      <c r="I44" s="187" t="s">
        <v>127</v>
      </c>
      <c r="J44" s="299"/>
      <c r="K44" s="244"/>
    </row>
    <row r="45" spans="1:11" ht="16.5" customHeight="1">
      <c r="A45" s="98" t="s">
        <v>98</v>
      </c>
      <c r="B45" s="206">
        <v>10</v>
      </c>
      <c r="C45" s="209" t="s">
        <v>115</v>
      </c>
      <c r="D45" s="37" t="s">
        <v>195</v>
      </c>
      <c r="E45" s="269">
        <v>35</v>
      </c>
      <c r="F45" s="195">
        <v>3.5</v>
      </c>
      <c r="G45" s="195">
        <v>0.1</v>
      </c>
      <c r="H45" s="195">
        <f t="shared" si="6"/>
        <v>12.250000000000002</v>
      </c>
      <c r="I45" s="187" t="s">
        <v>127</v>
      </c>
      <c r="J45" s="194">
        <f>50000/100000</f>
        <v>0.5</v>
      </c>
      <c r="K45" s="226" t="s">
        <v>489</v>
      </c>
    </row>
    <row r="46" spans="1:11" ht="16.5" customHeight="1">
      <c r="A46" s="98" t="s">
        <v>142</v>
      </c>
      <c r="B46" s="206">
        <v>10</v>
      </c>
      <c r="C46" s="270" t="s">
        <v>196</v>
      </c>
      <c r="D46" s="196" t="s">
        <v>63</v>
      </c>
      <c r="E46" s="195">
        <v>10</v>
      </c>
      <c r="F46" s="195">
        <v>4</v>
      </c>
      <c r="G46" s="195">
        <v>0.1</v>
      </c>
      <c r="H46" s="195">
        <f>G46*F46*E46</f>
        <v>4</v>
      </c>
      <c r="I46" s="187" t="s">
        <v>127</v>
      </c>
      <c r="J46" s="194">
        <f>50000/100000</f>
        <v>0.5</v>
      </c>
      <c r="K46" s="226" t="s">
        <v>490</v>
      </c>
    </row>
    <row r="47" spans="1:11" ht="16.5" customHeight="1">
      <c r="A47" s="115" t="s">
        <v>114</v>
      </c>
      <c r="B47" s="194">
        <v>10</v>
      </c>
      <c r="C47" s="208" t="s">
        <v>173</v>
      </c>
      <c r="D47" s="209" t="s">
        <v>197</v>
      </c>
      <c r="E47" s="195">
        <v>7.5</v>
      </c>
      <c r="F47" s="195">
        <v>3.65</v>
      </c>
      <c r="G47" s="195">
        <v>3.05</v>
      </c>
      <c r="H47" s="195">
        <f t="shared" si="6"/>
        <v>83.493749999999991</v>
      </c>
      <c r="I47" s="187" t="s">
        <v>127</v>
      </c>
      <c r="J47" s="194">
        <f>54861.56/100000</f>
        <v>0.54861559999999998</v>
      </c>
      <c r="K47" s="226" t="s">
        <v>491</v>
      </c>
    </row>
    <row r="48" spans="1:11" ht="16.5" customHeight="1">
      <c r="A48" s="115"/>
      <c r="B48" s="206">
        <v>150</v>
      </c>
      <c r="C48" s="207" t="s">
        <v>134</v>
      </c>
      <c r="D48" s="196" t="s">
        <v>191</v>
      </c>
      <c r="E48" s="195">
        <v>100</v>
      </c>
      <c r="F48" s="195">
        <v>0.45</v>
      </c>
      <c r="G48" s="195">
        <v>0.45</v>
      </c>
      <c r="H48" s="195">
        <f>G48*F48*E48</f>
        <v>20.25</v>
      </c>
      <c r="I48" s="187" t="s">
        <v>127</v>
      </c>
      <c r="J48" s="194">
        <f>80000/100000</f>
        <v>0.8</v>
      </c>
      <c r="K48" s="247" t="s">
        <v>492</v>
      </c>
    </row>
    <row r="49" spans="1:11" ht="16.5" customHeight="1">
      <c r="A49" s="66"/>
      <c r="B49" s="214">
        <f>SUM(B11:B48)</f>
        <v>21700</v>
      </c>
      <c r="C49" s="251"/>
      <c r="D49" s="252"/>
      <c r="E49" s="213"/>
      <c r="F49" s="213"/>
      <c r="G49" s="213"/>
      <c r="H49" s="213"/>
      <c r="I49" s="213"/>
      <c r="J49" s="253">
        <f>SUM(J11:J48)</f>
        <v>46.775555599999983</v>
      </c>
      <c r="K49" s="210"/>
    </row>
    <row r="50" spans="1:11" ht="16.5" customHeight="1">
      <c r="A50" s="66"/>
      <c r="B50" s="214"/>
      <c r="C50" s="210"/>
      <c r="D50" s="210"/>
      <c r="E50" s="210"/>
      <c r="F50" s="210"/>
      <c r="G50" s="210"/>
      <c r="H50" s="210"/>
      <c r="I50" s="210"/>
      <c r="J50" s="215">
        <f>E4/100000</f>
        <v>46.775555555555563</v>
      </c>
      <c r="K50" s="210"/>
    </row>
    <row r="51" spans="1:11" ht="16.5" customHeight="1">
      <c r="A51" s="66"/>
      <c r="B51" s="254">
        <f>B3*100</f>
        <v>21700</v>
      </c>
      <c r="C51" s="210"/>
      <c r="D51" s="210"/>
      <c r="E51" s="210"/>
      <c r="F51" s="210"/>
      <c r="G51" s="210"/>
      <c r="H51" s="210"/>
      <c r="I51" s="210"/>
      <c r="J51" s="255">
        <f>E2/100000</f>
        <v>42.097999999999999</v>
      </c>
      <c r="K51" s="210"/>
    </row>
    <row r="52" spans="1:11" ht="16.5" customHeight="1">
      <c r="A52" s="256" t="s">
        <v>38</v>
      </c>
      <c r="B52" s="210"/>
      <c r="C52" s="257">
        <f>E2/100000</f>
        <v>42.097999999999999</v>
      </c>
      <c r="D52" s="258" t="s">
        <v>39</v>
      </c>
      <c r="E52" s="210"/>
      <c r="F52" s="210"/>
      <c r="G52" s="210"/>
      <c r="H52" s="210"/>
      <c r="I52" s="210"/>
      <c r="J52" s="210"/>
      <c r="K52" s="210"/>
    </row>
    <row r="53" spans="1:11" ht="16.5" customHeight="1">
      <c r="A53" s="256" t="s">
        <v>40</v>
      </c>
      <c r="B53" s="210"/>
      <c r="C53" s="257">
        <f>C52*(1/9)</f>
        <v>4.6775555555555552</v>
      </c>
      <c r="D53" s="258" t="s">
        <v>39</v>
      </c>
      <c r="E53" s="210"/>
      <c r="F53" s="210"/>
      <c r="G53" s="210"/>
      <c r="H53" s="210"/>
      <c r="I53" s="210"/>
      <c r="J53" s="210"/>
      <c r="K53" s="210"/>
    </row>
    <row r="54" spans="1:11" ht="16.5" customHeight="1">
      <c r="A54" s="258" t="s">
        <v>108</v>
      </c>
      <c r="B54" s="210"/>
      <c r="C54" s="210"/>
      <c r="D54" s="210"/>
      <c r="E54" s="210"/>
      <c r="F54" s="210"/>
      <c r="G54" s="210"/>
      <c r="H54" s="210"/>
      <c r="I54" s="210"/>
      <c r="J54" s="259"/>
      <c r="K54" s="210"/>
    </row>
    <row r="55" spans="1:11" ht="16.5" customHeight="1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</row>
    <row r="56" spans="1:11" ht="16.5" customHeight="1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71"/>
    </row>
    <row r="57" spans="1:11" ht="16.5" customHeight="1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210"/>
    </row>
    <row r="58" spans="1:11" ht="16.5" customHeight="1">
      <c r="A58" s="210"/>
      <c r="B58" s="210"/>
      <c r="C58" s="210"/>
      <c r="D58" s="210"/>
      <c r="E58" s="210"/>
      <c r="F58" s="210"/>
      <c r="G58" s="210"/>
      <c r="H58" s="210"/>
      <c r="I58" s="210"/>
      <c r="J58" s="271"/>
      <c r="K58" s="210"/>
    </row>
    <row r="59" spans="1:11" ht="16.5" customHeight="1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</row>
    <row r="60" spans="1:11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48"/>
    </row>
    <row r="63" spans="1:11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11" ht="16.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</row>
  </sheetData>
  <mergeCells count="40">
    <mergeCell ref="A47:A48"/>
    <mergeCell ref="K7:K9"/>
    <mergeCell ref="K11:K13"/>
    <mergeCell ref="K17:K24"/>
    <mergeCell ref="A10:J10"/>
    <mergeCell ref="A15:A16"/>
    <mergeCell ref="A17:A29"/>
    <mergeCell ref="A32:A33"/>
    <mergeCell ref="A11:A13"/>
    <mergeCell ref="C11:C13"/>
    <mergeCell ref="B11:B13"/>
    <mergeCell ref="E11:E13"/>
    <mergeCell ref="F11:F13"/>
    <mergeCell ref="G11:G13"/>
    <mergeCell ref="H11:H13"/>
    <mergeCell ref="J11:J13"/>
    <mergeCell ref="E2:G2"/>
    <mergeCell ref="E3:G3"/>
    <mergeCell ref="E4:G4"/>
    <mergeCell ref="E5:G5"/>
    <mergeCell ref="E6:G6"/>
    <mergeCell ref="A34:A38"/>
    <mergeCell ref="B42:B44"/>
    <mergeCell ref="J42:J44"/>
    <mergeCell ref="E42:E44"/>
    <mergeCell ref="F42:F44"/>
    <mergeCell ref="G42:G44"/>
    <mergeCell ref="H42:H44"/>
    <mergeCell ref="A41:A44"/>
    <mergeCell ref="A7:A8"/>
    <mergeCell ref="B7:B8"/>
    <mergeCell ref="C7:C8"/>
    <mergeCell ref="D7:D8"/>
    <mergeCell ref="E7:I8"/>
    <mergeCell ref="K26:K28"/>
    <mergeCell ref="K34:K38"/>
    <mergeCell ref="K42:K44"/>
    <mergeCell ref="C42:C44"/>
    <mergeCell ref="J7:J9"/>
    <mergeCell ref="I11:I1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M69"/>
  <sheetViews>
    <sheetView topLeftCell="A51" workbookViewId="0">
      <selection activeCell="H70" sqref="H70"/>
    </sheetView>
  </sheetViews>
  <sheetFormatPr defaultColWidth="9.140625" defaultRowHeight="15"/>
  <cols>
    <col min="1" max="1" width="12.5703125" style="28" customWidth="1"/>
    <col min="2" max="2" width="12.42578125" style="28" bestFit="1" customWidth="1"/>
    <col min="3" max="3" width="19" style="28" customWidth="1"/>
    <col min="4" max="4" width="21.140625" style="28" customWidth="1"/>
    <col min="5" max="5" width="16" style="28" bestFit="1" customWidth="1"/>
    <col min="6" max="6" width="5.85546875" style="28" customWidth="1"/>
    <col min="7" max="7" width="6.140625" style="28" customWidth="1"/>
    <col min="8" max="8" width="14.85546875" style="28" customWidth="1"/>
    <col min="9" max="9" width="16" style="28" bestFit="1" customWidth="1"/>
    <col min="10" max="10" width="17.28515625" style="28" bestFit="1" customWidth="1"/>
    <col min="11" max="11" width="20" style="28" bestFit="1" customWidth="1"/>
    <col min="12" max="16384" width="9.140625" style="28"/>
  </cols>
  <sheetData>
    <row r="1" spans="1:13">
      <c r="A1" s="10" t="s">
        <v>199</v>
      </c>
      <c r="B1" s="6"/>
      <c r="C1" s="15"/>
      <c r="D1" s="15" t="s">
        <v>94</v>
      </c>
      <c r="E1" s="15"/>
      <c r="F1" s="15"/>
      <c r="G1" s="15"/>
      <c r="H1" s="15"/>
      <c r="I1" s="15"/>
      <c r="J1" s="15"/>
      <c r="K1" s="1"/>
      <c r="L1" s="1"/>
      <c r="M1" s="32"/>
    </row>
    <row r="2" spans="1:13">
      <c r="A2" s="2"/>
      <c r="B2" s="6"/>
      <c r="C2" s="3"/>
      <c r="D2" s="3" t="s">
        <v>0</v>
      </c>
      <c r="E2" s="138">
        <f>B3*194*100</f>
        <v>5529000</v>
      </c>
      <c r="F2" s="138"/>
      <c r="G2" s="138"/>
      <c r="H2" s="68"/>
      <c r="I2" s="68"/>
      <c r="J2" s="9"/>
      <c r="K2" s="1"/>
      <c r="L2" s="1"/>
      <c r="M2" s="32"/>
    </row>
    <row r="3" spans="1:13">
      <c r="A3" s="10" t="s">
        <v>1</v>
      </c>
      <c r="B3" s="6">
        <v>285</v>
      </c>
      <c r="C3" s="3"/>
      <c r="D3" s="3" t="s">
        <v>2</v>
      </c>
      <c r="E3" s="139">
        <f>E2*1/9</f>
        <v>614333.33333333337</v>
      </c>
      <c r="F3" s="139"/>
      <c r="G3" s="139"/>
      <c r="H3" s="69"/>
      <c r="I3" s="69"/>
      <c r="J3" s="21"/>
      <c r="K3" s="1"/>
      <c r="L3" s="1"/>
      <c r="M3" s="32"/>
    </row>
    <row r="4" spans="1:13">
      <c r="A4" s="7"/>
      <c r="B4" s="5"/>
      <c r="C4" s="3"/>
      <c r="D4" s="3" t="s">
        <v>3</v>
      </c>
      <c r="E4" s="139">
        <f>SUM(E2:E3)</f>
        <v>6143333.333333333</v>
      </c>
      <c r="F4" s="139"/>
      <c r="G4" s="139"/>
      <c r="H4" s="69"/>
      <c r="I4" s="69"/>
      <c r="J4" s="9"/>
      <c r="K4" s="1"/>
      <c r="L4" s="1"/>
      <c r="M4" s="32"/>
    </row>
    <row r="5" spans="1:13">
      <c r="A5" s="7"/>
      <c r="B5" s="5"/>
      <c r="C5" s="3"/>
      <c r="D5" s="3" t="s">
        <v>4</v>
      </c>
      <c r="E5" s="139">
        <f>E4*0.06</f>
        <v>368599.99999999994</v>
      </c>
      <c r="F5" s="139"/>
      <c r="G5" s="139"/>
      <c r="H5" s="69"/>
      <c r="I5" s="69"/>
      <c r="J5" s="9"/>
      <c r="K5" s="1"/>
      <c r="L5" s="1"/>
      <c r="M5" s="32"/>
    </row>
    <row r="6" spans="1:13">
      <c r="A6" s="7"/>
      <c r="B6" s="5"/>
      <c r="C6" s="3"/>
      <c r="D6" s="3" t="s">
        <v>5</v>
      </c>
      <c r="E6" s="140">
        <f>SUM(E4:E5)</f>
        <v>6511933.333333333</v>
      </c>
      <c r="F6" s="140"/>
      <c r="G6" s="140"/>
      <c r="H6" s="57"/>
      <c r="I6" s="57"/>
      <c r="J6" s="9"/>
      <c r="K6" s="1"/>
      <c r="L6" s="1"/>
      <c r="M6" s="32"/>
    </row>
    <row r="7" spans="1:13">
      <c r="A7" s="117" t="s">
        <v>6</v>
      </c>
      <c r="B7" s="118" t="s">
        <v>7</v>
      </c>
      <c r="C7" s="119" t="s">
        <v>8</v>
      </c>
      <c r="D7" s="121" t="s">
        <v>9</v>
      </c>
      <c r="E7" s="126" t="s">
        <v>10</v>
      </c>
      <c r="F7" s="127"/>
      <c r="G7" s="127"/>
      <c r="H7" s="127"/>
      <c r="I7" s="128"/>
      <c r="J7" s="110" t="s">
        <v>576</v>
      </c>
      <c r="K7" s="162" t="s">
        <v>119</v>
      </c>
      <c r="L7" s="1"/>
      <c r="M7" s="32"/>
    </row>
    <row r="8" spans="1:13">
      <c r="A8" s="117"/>
      <c r="B8" s="118"/>
      <c r="C8" s="120"/>
      <c r="D8" s="122"/>
      <c r="E8" s="129"/>
      <c r="F8" s="130"/>
      <c r="G8" s="130"/>
      <c r="H8" s="130"/>
      <c r="I8" s="131"/>
      <c r="J8" s="149"/>
      <c r="K8" s="162"/>
      <c r="L8" s="1"/>
      <c r="M8" s="32"/>
    </row>
    <row r="9" spans="1:13">
      <c r="A9" s="1"/>
      <c r="B9" s="50"/>
      <c r="C9" s="50"/>
      <c r="D9" s="50"/>
      <c r="E9" s="18" t="s">
        <v>102</v>
      </c>
      <c r="F9" s="47" t="s">
        <v>103</v>
      </c>
      <c r="G9" s="47" t="s">
        <v>104</v>
      </c>
      <c r="H9" s="47" t="s">
        <v>105</v>
      </c>
      <c r="I9" s="47" t="s">
        <v>106</v>
      </c>
      <c r="J9" s="111"/>
      <c r="K9" s="162"/>
      <c r="L9" s="1"/>
      <c r="M9" s="32"/>
    </row>
    <row r="10" spans="1:13">
      <c r="A10" s="146" t="s">
        <v>11</v>
      </c>
      <c r="B10" s="147"/>
      <c r="C10" s="147"/>
      <c r="D10" s="147"/>
      <c r="E10" s="147"/>
      <c r="F10" s="147"/>
      <c r="G10" s="147"/>
      <c r="H10" s="147"/>
      <c r="I10" s="147"/>
      <c r="J10" s="148"/>
      <c r="K10" s="1"/>
      <c r="L10" s="1"/>
      <c r="M10" s="32"/>
    </row>
    <row r="11" spans="1:13" ht="15" customHeight="1">
      <c r="A11" s="104" t="s">
        <v>12</v>
      </c>
      <c r="B11" s="178">
        <v>288</v>
      </c>
      <c r="C11" s="177" t="s">
        <v>189</v>
      </c>
      <c r="D11" s="73" t="s">
        <v>200</v>
      </c>
      <c r="E11" s="17">
        <f>1/(F11*G11)*B11</f>
        <v>24</v>
      </c>
      <c r="F11" s="70">
        <v>6</v>
      </c>
      <c r="G11" s="70">
        <v>2</v>
      </c>
      <c r="H11" s="70">
        <f>G11*F11*E11</f>
        <v>288</v>
      </c>
      <c r="I11" s="18" t="s">
        <v>126</v>
      </c>
      <c r="J11" s="101">
        <f>B11*194/100000</f>
        <v>0.55871999999999999</v>
      </c>
      <c r="K11" s="107" t="s">
        <v>493</v>
      </c>
      <c r="L11" s="1"/>
      <c r="M11" s="32"/>
    </row>
    <row r="12" spans="1:13">
      <c r="A12" s="105"/>
      <c r="B12" s="179"/>
      <c r="C12" s="177"/>
      <c r="D12" s="73" t="s">
        <v>61</v>
      </c>
      <c r="E12" s="17">
        <v>6</v>
      </c>
      <c r="F12" s="70">
        <v>6</v>
      </c>
      <c r="G12" s="70">
        <v>2</v>
      </c>
      <c r="H12" s="70">
        <f t="shared" ref="H12" si="0">G12*F12*E12</f>
        <v>72</v>
      </c>
      <c r="I12" s="18" t="s">
        <v>126</v>
      </c>
      <c r="J12" s="102"/>
      <c r="K12" s="107"/>
      <c r="L12" s="1"/>
      <c r="M12" s="32"/>
    </row>
    <row r="13" spans="1:13">
      <c r="A13" s="105"/>
      <c r="B13" s="179"/>
      <c r="C13" s="177"/>
      <c r="D13" s="73" t="s">
        <v>202</v>
      </c>
      <c r="E13" s="17">
        <v>6</v>
      </c>
      <c r="F13" s="70">
        <v>6</v>
      </c>
      <c r="G13" s="70">
        <v>2</v>
      </c>
      <c r="H13" s="70">
        <f t="shared" ref="H13" si="1">G13*F13*E13</f>
        <v>72</v>
      </c>
      <c r="I13" s="18" t="s">
        <v>126</v>
      </c>
      <c r="J13" s="102"/>
      <c r="K13" s="107"/>
      <c r="L13" s="1"/>
      <c r="M13" s="32"/>
    </row>
    <row r="14" spans="1:13">
      <c r="A14" s="105"/>
      <c r="B14" s="180"/>
      <c r="C14" s="177"/>
      <c r="D14" s="73" t="s">
        <v>201</v>
      </c>
      <c r="I14" s="18" t="s">
        <v>126</v>
      </c>
      <c r="J14" s="103"/>
      <c r="K14" s="107"/>
      <c r="L14" s="1"/>
      <c r="M14" s="32"/>
    </row>
    <row r="15" spans="1:13">
      <c r="A15" s="106"/>
      <c r="B15" s="70">
        <v>20</v>
      </c>
      <c r="C15" s="46" t="s">
        <v>205</v>
      </c>
      <c r="D15" s="64" t="s">
        <v>60</v>
      </c>
      <c r="E15" s="17">
        <v>4</v>
      </c>
      <c r="F15" s="70">
        <v>1</v>
      </c>
      <c r="G15" s="70">
        <v>1.5</v>
      </c>
      <c r="H15" s="70">
        <f>G15*F15*E15</f>
        <v>6</v>
      </c>
      <c r="I15" s="18" t="s">
        <v>126</v>
      </c>
      <c r="J15" s="18">
        <f>33880/100000</f>
        <v>0.33879999999999999</v>
      </c>
      <c r="K15" s="85" t="s">
        <v>494</v>
      </c>
      <c r="L15" s="1"/>
      <c r="M15" s="32"/>
    </row>
    <row r="16" spans="1:13" ht="30">
      <c r="A16" s="72" t="s">
        <v>151</v>
      </c>
      <c r="B16" s="18">
        <v>100</v>
      </c>
      <c r="C16" s="30" t="s">
        <v>203</v>
      </c>
      <c r="D16" s="64" t="s">
        <v>204</v>
      </c>
      <c r="E16" s="17">
        <v>3</v>
      </c>
      <c r="F16" s="70">
        <v>3</v>
      </c>
      <c r="G16" s="17">
        <v>2</v>
      </c>
      <c r="H16" s="70">
        <f t="shared" ref="H16:H26" si="2">G16*F16*E16</f>
        <v>18</v>
      </c>
      <c r="I16" s="18" t="s">
        <v>127</v>
      </c>
      <c r="J16" s="18">
        <f>79400/100000</f>
        <v>0.79400000000000004</v>
      </c>
      <c r="K16" s="85" t="s">
        <v>495</v>
      </c>
      <c r="L16" s="1"/>
      <c r="M16" s="32"/>
    </row>
    <row r="17" spans="1:13" ht="60">
      <c r="A17" s="72" t="s">
        <v>229</v>
      </c>
      <c r="B17" s="18">
        <v>10</v>
      </c>
      <c r="C17" s="30" t="s">
        <v>230</v>
      </c>
      <c r="D17" s="64" t="s">
        <v>204</v>
      </c>
      <c r="E17" s="17">
        <v>3</v>
      </c>
      <c r="F17" s="70">
        <v>3</v>
      </c>
      <c r="G17" s="17">
        <v>2</v>
      </c>
      <c r="H17" s="70">
        <f t="shared" si="2"/>
        <v>18</v>
      </c>
      <c r="I17" s="18" t="s">
        <v>127</v>
      </c>
      <c r="J17" s="18">
        <f>51940/100000</f>
        <v>0.51939999999999997</v>
      </c>
      <c r="K17" s="86" t="s">
        <v>496</v>
      </c>
      <c r="L17" s="1"/>
      <c r="M17" s="32"/>
    </row>
    <row r="18" spans="1:13">
      <c r="A18" s="116" t="s">
        <v>15</v>
      </c>
      <c r="B18" s="18">
        <v>200</v>
      </c>
      <c r="C18" s="11" t="s">
        <v>16</v>
      </c>
      <c r="D18" s="64" t="s">
        <v>204</v>
      </c>
      <c r="E18" s="17">
        <f t="shared" ref="E18:E26" si="3">1/(F18*G18)*B18</f>
        <v>2222.2222222222222</v>
      </c>
      <c r="F18" s="70">
        <v>0.3</v>
      </c>
      <c r="G18" s="17">
        <v>0.3</v>
      </c>
      <c r="H18" s="70">
        <f t="shared" si="2"/>
        <v>200</v>
      </c>
      <c r="I18" s="18" t="s">
        <v>127</v>
      </c>
      <c r="J18" s="18">
        <f>B18*194/100000</f>
        <v>0.38800000000000001</v>
      </c>
      <c r="K18" s="85" t="s">
        <v>497</v>
      </c>
      <c r="L18" s="1"/>
      <c r="M18" s="32"/>
    </row>
    <row r="19" spans="1:13" ht="15" customHeight="1">
      <c r="A19" s="116"/>
      <c r="B19" s="18">
        <v>160</v>
      </c>
      <c r="C19" s="12" t="s">
        <v>188</v>
      </c>
      <c r="D19" s="64" t="s">
        <v>204</v>
      </c>
      <c r="E19" s="17">
        <f t="shared" si="3"/>
        <v>1777.7777777777778</v>
      </c>
      <c r="F19" s="70">
        <v>0.3</v>
      </c>
      <c r="G19" s="17">
        <v>0.3</v>
      </c>
      <c r="H19" s="70">
        <f t="shared" si="2"/>
        <v>160</v>
      </c>
      <c r="I19" s="18" t="s">
        <v>127</v>
      </c>
      <c r="J19" s="18">
        <f>B19*194/100000</f>
        <v>0.31040000000000001</v>
      </c>
      <c r="K19" s="85" t="s">
        <v>498</v>
      </c>
      <c r="L19" s="1"/>
      <c r="M19" s="32"/>
    </row>
    <row r="20" spans="1:13">
      <c r="A20" s="166" t="s">
        <v>19</v>
      </c>
      <c r="B20" s="18">
        <v>1500</v>
      </c>
      <c r="C20" s="14" t="s">
        <v>20</v>
      </c>
      <c r="D20" s="12" t="s">
        <v>206</v>
      </c>
      <c r="E20" s="17">
        <f t="shared" si="3"/>
        <v>1000</v>
      </c>
      <c r="F20" s="70">
        <v>1.5</v>
      </c>
      <c r="G20" s="17">
        <v>1</v>
      </c>
      <c r="H20" s="70">
        <f t="shared" si="2"/>
        <v>1500</v>
      </c>
      <c r="I20" s="18" t="s">
        <v>127</v>
      </c>
      <c r="J20" s="92">
        <f t="shared" ref="J20:J29" si="4">B20*194/100000</f>
        <v>2.91</v>
      </c>
      <c r="K20" s="135" t="s">
        <v>499</v>
      </c>
      <c r="L20" s="1"/>
      <c r="M20" s="32"/>
    </row>
    <row r="21" spans="1:13">
      <c r="A21" s="167"/>
      <c r="B21" s="18">
        <v>1500</v>
      </c>
      <c r="C21" s="14" t="s">
        <v>20</v>
      </c>
      <c r="D21" s="12" t="s">
        <v>207</v>
      </c>
      <c r="E21" s="17">
        <f t="shared" si="3"/>
        <v>1000</v>
      </c>
      <c r="F21" s="17">
        <v>1.5</v>
      </c>
      <c r="G21" s="17">
        <v>1</v>
      </c>
      <c r="H21" s="70">
        <f t="shared" si="2"/>
        <v>1500</v>
      </c>
      <c r="I21" s="18" t="s">
        <v>127</v>
      </c>
      <c r="J21" s="92">
        <f t="shared" si="4"/>
        <v>2.91</v>
      </c>
      <c r="K21" s="136"/>
      <c r="L21" s="1"/>
      <c r="M21" s="32"/>
    </row>
    <row r="22" spans="1:13">
      <c r="A22" s="167"/>
      <c r="B22" s="18">
        <v>1500</v>
      </c>
      <c r="C22" s="14" t="s">
        <v>20</v>
      </c>
      <c r="D22" s="12" t="s">
        <v>208</v>
      </c>
      <c r="E22" s="17">
        <f t="shared" si="3"/>
        <v>1000</v>
      </c>
      <c r="F22" s="17">
        <v>1.5</v>
      </c>
      <c r="G22" s="17">
        <v>1</v>
      </c>
      <c r="H22" s="70">
        <f t="shared" si="2"/>
        <v>1500</v>
      </c>
      <c r="I22" s="18" t="s">
        <v>127</v>
      </c>
      <c r="J22" s="92">
        <f t="shared" si="4"/>
        <v>2.91</v>
      </c>
      <c r="K22" s="136"/>
      <c r="L22" s="1"/>
      <c r="M22" s="32"/>
    </row>
    <row r="23" spans="1:13">
      <c r="A23" s="167"/>
      <c r="B23" s="18">
        <v>1500</v>
      </c>
      <c r="C23" s="14" t="s">
        <v>20</v>
      </c>
      <c r="D23" s="12" t="s">
        <v>209</v>
      </c>
      <c r="E23" s="17">
        <f t="shared" si="3"/>
        <v>1000</v>
      </c>
      <c r="F23" s="17">
        <v>1.5</v>
      </c>
      <c r="G23" s="17">
        <v>1</v>
      </c>
      <c r="H23" s="70">
        <f t="shared" si="2"/>
        <v>1500</v>
      </c>
      <c r="I23" s="18" t="s">
        <v>127</v>
      </c>
      <c r="J23" s="92">
        <f t="shared" si="4"/>
        <v>2.91</v>
      </c>
      <c r="K23" s="136"/>
      <c r="L23" s="1"/>
      <c r="M23" s="32"/>
    </row>
    <row r="24" spans="1:13">
      <c r="A24" s="167"/>
      <c r="B24" s="18">
        <v>1500</v>
      </c>
      <c r="C24" s="14" t="s">
        <v>20</v>
      </c>
      <c r="D24" s="12" t="s">
        <v>210</v>
      </c>
      <c r="E24" s="17">
        <f t="shared" si="3"/>
        <v>1000</v>
      </c>
      <c r="F24" s="17">
        <v>1.5</v>
      </c>
      <c r="G24" s="17">
        <v>1</v>
      </c>
      <c r="H24" s="70">
        <f t="shared" si="2"/>
        <v>1500</v>
      </c>
      <c r="I24" s="18" t="s">
        <v>127</v>
      </c>
      <c r="J24" s="92">
        <f t="shared" si="4"/>
        <v>2.91</v>
      </c>
      <c r="K24" s="136"/>
      <c r="L24" s="1"/>
      <c r="M24" s="32"/>
    </row>
    <row r="25" spans="1:13">
      <c r="A25" s="167"/>
      <c r="B25" s="18">
        <v>1500</v>
      </c>
      <c r="C25" s="14" t="s">
        <v>20</v>
      </c>
      <c r="D25" s="12" t="s">
        <v>202</v>
      </c>
      <c r="E25" s="17">
        <f>1/(F25*G25)*B25</f>
        <v>1500</v>
      </c>
      <c r="F25" s="17">
        <v>1</v>
      </c>
      <c r="G25" s="17">
        <v>1</v>
      </c>
      <c r="H25" s="70">
        <f t="shared" si="2"/>
        <v>1500</v>
      </c>
      <c r="I25" s="18" t="s">
        <v>127</v>
      </c>
      <c r="J25" s="92">
        <f t="shared" si="4"/>
        <v>2.91</v>
      </c>
      <c r="K25" s="136"/>
      <c r="L25" s="1"/>
      <c r="M25" s="32"/>
    </row>
    <row r="26" spans="1:13">
      <c r="A26" s="167"/>
      <c r="B26" s="18">
        <v>1500</v>
      </c>
      <c r="C26" s="14" t="s">
        <v>20</v>
      </c>
      <c r="D26" s="12" t="s">
        <v>211</v>
      </c>
      <c r="E26" s="17">
        <f t="shared" si="3"/>
        <v>1500</v>
      </c>
      <c r="F26" s="17">
        <v>1</v>
      </c>
      <c r="G26" s="17">
        <v>1</v>
      </c>
      <c r="H26" s="70">
        <f t="shared" si="2"/>
        <v>1500</v>
      </c>
      <c r="I26" s="18" t="s">
        <v>127</v>
      </c>
      <c r="J26" s="92">
        <f t="shared" si="4"/>
        <v>2.91</v>
      </c>
      <c r="K26" s="136"/>
      <c r="L26" s="1"/>
      <c r="M26" s="32"/>
    </row>
    <row r="27" spans="1:13">
      <c r="A27" s="167"/>
      <c r="B27" s="18">
        <v>1500</v>
      </c>
      <c r="C27" s="14" t="s">
        <v>20</v>
      </c>
      <c r="D27" s="12" t="s">
        <v>212</v>
      </c>
      <c r="E27" s="17">
        <f>1/(F27*G27)*B27</f>
        <v>75</v>
      </c>
      <c r="F27" s="17">
        <v>20</v>
      </c>
      <c r="G27" s="17">
        <v>1</v>
      </c>
      <c r="H27" s="70">
        <f>G27*F27*E27</f>
        <v>1500</v>
      </c>
      <c r="I27" s="18" t="s">
        <v>127</v>
      </c>
      <c r="J27" s="92">
        <f t="shared" si="4"/>
        <v>2.91</v>
      </c>
      <c r="K27" s="136"/>
      <c r="L27" s="1"/>
      <c r="M27" s="32"/>
    </row>
    <row r="28" spans="1:13">
      <c r="A28" s="167"/>
      <c r="B28" s="18">
        <v>1500</v>
      </c>
      <c r="C28" s="14" t="s">
        <v>20</v>
      </c>
      <c r="D28" s="12" t="s">
        <v>213</v>
      </c>
      <c r="E28" s="17">
        <f t="shared" ref="E28" si="5">1/(F28*G28)*B28</f>
        <v>75</v>
      </c>
      <c r="F28" s="17">
        <v>20</v>
      </c>
      <c r="G28" s="17">
        <v>1</v>
      </c>
      <c r="H28" s="70">
        <f t="shared" ref="H28" si="6">G28*F28*E28</f>
        <v>1500</v>
      </c>
      <c r="I28" s="18" t="s">
        <v>127</v>
      </c>
      <c r="J28" s="92">
        <f t="shared" si="4"/>
        <v>2.91</v>
      </c>
      <c r="K28" s="136"/>
      <c r="L28" s="1"/>
      <c r="M28" s="32"/>
    </row>
    <row r="29" spans="1:13">
      <c r="A29" s="167"/>
      <c r="B29" s="18">
        <v>1500</v>
      </c>
      <c r="C29" s="14" t="s">
        <v>20</v>
      </c>
      <c r="D29" s="12" t="s">
        <v>237</v>
      </c>
      <c r="E29" s="17">
        <f t="shared" ref="E29" si="7">1/(F29*G29)*B29</f>
        <v>75</v>
      </c>
      <c r="F29" s="17">
        <v>20</v>
      </c>
      <c r="G29" s="17">
        <v>1</v>
      </c>
      <c r="H29" s="70">
        <f t="shared" ref="H29" si="8">G29*F29*E29</f>
        <v>1500</v>
      </c>
      <c r="I29" s="18" t="s">
        <v>127</v>
      </c>
      <c r="J29" s="92">
        <f t="shared" si="4"/>
        <v>2.91</v>
      </c>
      <c r="K29" s="137"/>
      <c r="L29" s="1"/>
      <c r="M29" s="32"/>
    </row>
    <row r="30" spans="1:13">
      <c r="A30" s="63"/>
      <c r="B30" s="190"/>
      <c r="C30" s="191"/>
      <c r="D30" s="199"/>
      <c r="E30" s="190"/>
      <c r="F30" s="190"/>
      <c r="G30" s="190"/>
      <c r="H30" s="190"/>
      <c r="I30" s="190"/>
      <c r="J30" s="190"/>
      <c r="K30" s="1"/>
      <c r="L30" s="1"/>
      <c r="M30" s="32"/>
    </row>
    <row r="31" spans="1:13">
      <c r="A31" s="36" t="s">
        <v>21</v>
      </c>
      <c r="B31" s="236"/>
      <c r="C31" s="201"/>
      <c r="D31" s="201"/>
      <c r="E31" s="201"/>
      <c r="F31" s="201"/>
      <c r="G31" s="201"/>
      <c r="H31" s="201"/>
      <c r="I31" s="201"/>
      <c r="J31" s="201"/>
      <c r="K31" s="1"/>
      <c r="L31" s="1"/>
      <c r="M31" s="32"/>
    </row>
    <row r="32" spans="1:13">
      <c r="A32" s="71"/>
      <c r="B32" s="236"/>
      <c r="C32" s="236"/>
      <c r="D32" s="236"/>
      <c r="E32" s="236"/>
      <c r="F32" s="236"/>
      <c r="G32" s="236"/>
      <c r="H32" s="236"/>
      <c r="I32" s="236"/>
      <c r="J32" s="236"/>
      <c r="K32" s="1"/>
      <c r="L32" s="1"/>
      <c r="M32" s="32"/>
    </row>
    <row r="33" spans="1:13" ht="15" customHeight="1">
      <c r="A33" s="123" t="s">
        <v>28</v>
      </c>
      <c r="B33" s="194">
        <v>5</v>
      </c>
      <c r="C33" s="196" t="s">
        <v>66</v>
      </c>
      <c r="D33" s="37" t="s">
        <v>221</v>
      </c>
      <c r="E33" s="195">
        <v>3.05</v>
      </c>
      <c r="F33" s="195">
        <v>2</v>
      </c>
      <c r="G33" s="195">
        <v>2.2000000000000002</v>
      </c>
      <c r="H33" s="195">
        <f t="shared" ref="H33:H54" si="9">G33*F33*E33</f>
        <v>13.42</v>
      </c>
      <c r="I33" s="194" t="s">
        <v>577</v>
      </c>
      <c r="J33" s="194">
        <f>90970/100000</f>
        <v>0.90969999999999995</v>
      </c>
      <c r="K33" s="85" t="s">
        <v>500</v>
      </c>
      <c r="L33" s="1"/>
      <c r="M33" s="32"/>
    </row>
    <row r="34" spans="1:13">
      <c r="A34" s="124"/>
      <c r="B34" s="194">
        <v>10</v>
      </c>
      <c r="C34" s="75" t="s">
        <v>67</v>
      </c>
      <c r="D34" s="37" t="s">
        <v>221</v>
      </c>
      <c r="E34" s="195">
        <v>3.05</v>
      </c>
      <c r="F34" s="195">
        <v>2</v>
      </c>
      <c r="G34" s="195">
        <v>2.2000000000000002</v>
      </c>
      <c r="H34" s="195">
        <f t="shared" si="9"/>
        <v>13.42</v>
      </c>
      <c r="I34" s="194" t="s">
        <v>577</v>
      </c>
      <c r="J34" s="194">
        <f>121940/100000</f>
        <v>1.2194</v>
      </c>
      <c r="K34" s="86" t="s">
        <v>501</v>
      </c>
      <c r="L34" s="1"/>
      <c r="M34" s="32"/>
    </row>
    <row r="35" spans="1:13" ht="18.75" customHeight="1">
      <c r="A35" s="124"/>
      <c r="B35" s="293">
        <v>20</v>
      </c>
      <c r="C35" s="183" t="s">
        <v>225</v>
      </c>
      <c r="D35" s="37" t="s">
        <v>61</v>
      </c>
      <c r="E35" s="295">
        <v>4.5999999999999996</v>
      </c>
      <c r="F35" s="295">
        <v>1.5</v>
      </c>
      <c r="G35" s="295">
        <v>0.45</v>
      </c>
      <c r="H35" s="295">
        <f t="shared" si="9"/>
        <v>3.105</v>
      </c>
      <c r="I35" s="293" t="s">
        <v>127</v>
      </c>
      <c r="J35" s="293">
        <v>0.21879999999999999</v>
      </c>
      <c r="K35" s="163" t="s">
        <v>502</v>
      </c>
      <c r="L35" s="1"/>
      <c r="M35" s="32"/>
    </row>
    <row r="36" spans="1:13">
      <c r="A36" s="125"/>
      <c r="B36" s="299"/>
      <c r="C36" s="183"/>
      <c r="D36" s="37" t="s">
        <v>226</v>
      </c>
      <c r="E36" s="301"/>
      <c r="F36" s="301"/>
      <c r="G36" s="301"/>
      <c r="H36" s="301"/>
      <c r="I36" s="299"/>
      <c r="J36" s="299"/>
      <c r="K36" s="165"/>
      <c r="L36" s="1"/>
      <c r="M36" s="32"/>
    </row>
    <row r="37" spans="1:13">
      <c r="A37" s="123" t="s">
        <v>29</v>
      </c>
      <c r="B37" s="194">
        <v>780</v>
      </c>
      <c r="C37" s="209" t="s">
        <v>30</v>
      </c>
      <c r="D37" s="196" t="s">
        <v>214</v>
      </c>
      <c r="E37" s="195">
        <f t="shared" ref="E37:E41" si="10">1/(F37*G37)*B37</f>
        <v>95.823095823095812</v>
      </c>
      <c r="F37" s="195">
        <v>3.7</v>
      </c>
      <c r="G37" s="195">
        <v>2.2000000000000002</v>
      </c>
      <c r="H37" s="195">
        <f t="shared" si="9"/>
        <v>780</v>
      </c>
      <c r="I37" s="194" t="s">
        <v>127</v>
      </c>
      <c r="J37" s="194">
        <f>B37*194/100000</f>
        <v>1.5132000000000001</v>
      </c>
      <c r="K37" s="135" t="s">
        <v>503</v>
      </c>
      <c r="L37" s="1"/>
      <c r="M37" s="32"/>
    </row>
    <row r="38" spans="1:13">
      <c r="A38" s="124"/>
      <c r="B38" s="194">
        <v>780</v>
      </c>
      <c r="C38" s="239" t="s">
        <v>30</v>
      </c>
      <c r="D38" s="196" t="s">
        <v>215</v>
      </c>
      <c r="E38" s="195">
        <f t="shared" si="10"/>
        <v>95.823095823095812</v>
      </c>
      <c r="F38" s="195">
        <v>3.7</v>
      </c>
      <c r="G38" s="195">
        <v>2.2000000000000002</v>
      </c>
      <c r="H38" s="195">
        <f t="shared" si="9"/>
        <v>780</v>
      </c>
      <c r="I38" s="194" t="s">
        <v>127</v>
      </c>
      <c r="J38" s="194">
        <f t="shared" ref="J38:J46" si="11">B38*194/100000</f>
        <v>1.5132000000000001</v>
      </c>
      <c r="K38" s="136"/>
      <c r="L38" s="1"/>
      <c r="M38" s="32"/>
    </row>
    <row r="39" spans="1:13">
      <c r="A39" s="124"/>
      <c r="B39" s="194">
        <v>780</v>
      </c>
      <c r="C39" s="239" t="s">
        <v>30</v>
      </c>
      <c r="D39" s="196" t="s">
        <v>216</v>
      </c>
      <c r="E39" s="195">
        <f t="shared" si="10"/>
        <v>95.823095823095812</v>
      </c>
      <c r="F39" s="195">
        <v>3.7</v>
      </c>
      <c r="G39" s="195">
        <v>2.2000000000000002</v>
      </c>
      <c r="H39" s="195">
        <f t="shared" si="9"/>
        <v>780</v>
      </c>
      <c r="I39" s="194" t="s">
        <v>127</v>
      </c>
      <c r="J39" s="194">
        <f t="shared" si="11"/>
        <v>1.5132000000000001</v>
      </c>
      <c r="K39" s="136"/>
      <c r="L39" s="1"/>
      <c r="M39" s="32"/>
    </row>
    <row r="40" spans="1:13">
      <c r="A40" s="124"/>
      <c r="B40" s="194">
        <v>780</v>
      </c>
      <c r="C40" s="239" t="s">
        <v>30</v>
      </c>
      <c r="D40" s="196" t="s">
        <v>217</v>
      </c>
      <c r="E40" s="195">
        <f t="shared" si="10"/>
        <v>95.823095823095812</v>
      </c>
      <c r="F40" s="195">
        <v>3.7</v>
      </c>
      <c r="G40" s="195">
        <v>2.2000000000000002</v>
      </c>
      <c r="H40" s="195">
        <f t="shared" si="9"/>
        <v>780</v>
      </c>
      <c r="I40" s="194" t="s">
        <v>127</v>
      </c>
      <c r="J40" s="194">
        <f t="shared" si="11"/>
        <v>1.5132000000000001</v>
      </c>
      <c r="K40" s="136"/>
      <c r="L40" s="1"/>
      <c r="M40" s="32"/>
    </row>
    <row r="41" spans="1:13">
      <c r="A41" s="124"/>
      <c r="B41" s="194">
        <v>780</v>
      </c>
      <c r="C41" s="239" t="s">
        <v>30</v>
      </c>
      <c r="D41" s="196" t="s">
        <v>218</v>
      </c>
      <c r="E41" s="195">
        <f t="shared" si="10"/>
        <v>95.823095823095812</v>
      </c>
      <c r="F41" s="195">
        <v>3.7</v>
      </c>
      <c r="G41" s="195">
        <v>2.2000000000000002</v>
      </c>
      <c r="H41" s="195">
        <f t="shared" si="9"/>
        <v>780</v>
      </c>
      <c r="I41" s="194" t="s">
        <v>127</v>
      </c>
      <c r="J41" s="194">
        <f t="shared" si="11"/>
        <v>1.5132000000000001</v>
      </c>
      <c r="K41" s="136"/>
      <c r="L41" s="1"/>
      <c r="M41" s="32"/>
    </row>
    <row r="42" spans="1:13">
      <c r="A42" s="55"/>
      <c r="B42" s="194">
        <v>780</v>
      </c>
      <c r="C42" s="239" t="s">
        <v>30</v>
      </c>
      <c r="D42" s="196" t="s">
        <v>219</v>
      </c>
      <c r="E42" s="195">
        <f t="shared" ref="E42:E46" si="12">1/(F42*G42)*B42</f>
        <v>95.823095823095812</v>
      </c>
      <c r="F42" s="195">
        <v>3.7</v>
      </c>
      <c r="G42" s="195">
        <v>2.2000000000000002</v>
      </c>
      <c r="H42" s="195">
        <f t="shared" ref="H42:H46" si="13">G42*F42*E42</f>
        <v>780</v>
      </c>
      <c r="I42" s="194" t="s">
        <v>127</v>
      </c>
      <c r="J42" s="194">
        <f t="shared" si="11"/>
        <v>1.5132000000000001</v>
      </c>
      <c r="K42" s="136"/>
      <c r="L42" s="1"/>
      <c r="M42" s="32"/>
    </row>
    <row r="43" spans="1:13">
      <c r="A43" s="55"/>
      <c r="B43" s="194">
        <v>780</v>
      </c>
      <c r="C43" s="239" t="s">
        <v>30</v>
      </c>
      <c r="D43" s="196" t="s">
        <v>207</v>
      </c>
      <c r="E43" s="195">
        <f t="shared" si="12"/>
        <v>95.823095823095812</v>
      </c>
      <c r="F43" s="195">
        <v>3.7</v>
      </c>
      <c r="G43" s="195">
        <v>2.2000000000000002</v>
      </c>
      <c r="H43" s="195">
        <f t="shared" si="13"/>
        <v>780</v>
      </c>
      <c r="I43" s="194" t="s">
        <v>127</v>
      </c>
      <c r="J43" s="194">
        <f t="shared" si="11"/>
        <v>1.5132000000000001</v>
      </c>
      <c r="K43" s="136"/>
      <c r="L43" s="1"/>
      <c r="M43" s="32"/>
    </row>
    <row r="44" spans="1:13">
      <c r="A44" s="55"/>
      <c r="B44" s="194">
        <v>780</v>
      </c>
      <c r="C44" s="239" t="s">
        <v>30</v>
      </c>
      <c r="D44" s="196" t="s">
        <v>206</v>
      </c>
      <c r="E44" s="195">
        <f t="shared" si="12"/>
        <v>95.823095823095812</v>
      </c>
      <c r="F44" s="195">
        <v>3.7</v>
      </c>
      <c r="G44" s="195">
        <v>2.2000000000000002</v>
      </c>
      <c r="H44" s="195">
        <f t="shared" si="13"/>
        <v>780</v>
      </c>
      <c r="I44" s="194" t="s">
        <v>127</v>
      </c>
      <c r="J44" s="194">
        <f t="shared" si="11"/>
        <v>1.5132000000000001</v>
      </c>
      <c r="K44" s="136"/>
      <c r="L44" s="1"/>
      <c r="M44" s="32"/>
    </row>
    <row r="45" spans="1:13">
      <c r="A45" s="55"/>
      <c r="B45" s="194">
        <v>780</v>
      </c>
      <c r="C45" s="239" t="s">
        <v>30</v>
      </c>
      <c r="D45" s="196" t="s">
        <v>220</v>
      </c>
      <c r="E45" s="195">
        <f t="shared" si="12"/>
        <v>95.823095823095812</v>
      </c>
      <c r="F45" s="195">
        <v>3.7</v>
      </c>
      <c r="G45" s="195">
        <v>2.2000000000000002</v>
      </c>
      <c r="H45" s="195">
        <f t="shared" si="13"/>
        <v>780</v>
      </c>
      <c r="I45" s="194" t="s">
        <v>127</v>
      </c>
      <c r="J45" s="194">
        <f t="shared" si="11"/>
        <v>1.5132000000000001</v>
      </c>
      <c r="K45" s="136"/>
      <c r="L45" s="1"/>
      <c r="M45" s="32"/>
    </row>
    <row r="46" spans="1:13">
      <c r="B46" s="194">
        <v>780</v>
      </c>
      <c r="C46" s="239" t="s">
        <v>30</v>
      </c>
      <c r="D46" s="196" t="s">
        <v>202</v>
      </c>
      <c r="E46" s="195">
        <f t="shared" si="12"/>
        <v>95.823095823095812</v>
      </c>
      <c r="F46" s="195">
        <v>3.7</v>
      </c>
      <c r="G46" s="195">
        <v>2.2000000000000002</v>
      </c>
      <c r="H46" s="195">
        <f t="shared" si="13"/>
        <v>780</v>
      </c>
      <c r="I46" s="194" t="s">
        <v>127</v>
      </c>
      <c r="J46" s="194">
        <f t="shared" si="11"/>
        <v>1.5132000000000001</v>
      </c>
      <c r="K46" s="137"/>
      <c r="L46" s="1"/>
      <c r="M46" s="32"/>
    </row>
    <row r="47" spans="1:13">
      <c r="B47" s="187"/>
      <c r="C47" s="302"/>
      <c r="D47" s="189"/>
      <c r="E47" s="187"/>
      <c r="F47" s="187"/>
      <c r="G47" s="187"/>
      <c r="H47" s="187"/>
      <c r="I47" s="187"/>
      <c r="J47" s="187"/>
      <c r="K47" s="1"/>
      <c r="L47" s="1"/>
      <c r="M47" s="32"/>
    </row>
    <row r="48" spans="1:13">
      <c r="A48" s="59" t="s">
        <v>32</v>
      </c>
      <c r="B48" s="194"/>
      <c r="C48" s="268"/>
      <c r="D48" s="196"/>
      <c r="E48" s="195"/>
      <c r="F48" s="195"/>
      <c r="G48" s="195"/>
      <c r="H48" s="195"/>
      <c r="I48" s="194"/>
      <c r="J48" s="194"/>
      <c r="K48" s="1"/>
      <c r="L48" s="1"/>
      <c r="M48" s="32"/>
    </row>
    <row r="49" spans="1:13">
      <c r="A49" s="158" t="s">
        <v>96</v>
      </c>
      <c r="B49" s="187">
        <v>120</v>
      </c>
      <c r="C49" s="292" t="s">
        <v>222</v>
      </c>
      <c r="D49" s="37" t="s">
        <v>223</v>
      </c>
      <c r="E49" s="195">
        <f t="shared" ref="E49" si="14">1/(F49*G49)*B49</f>
        <v>17.142857142857142</v>
      </c>
      <c r="F49" s="195">
        <v>3.5</v>
      </c>
      <c r="G49" s="195">
        <v>2</v>
      </c>
      <c r="H49" s="195">
        <f t="shared" ref="H49" si="15">G49*F49*E49</f>
        <v>120</v>
      </c>
      <c r="I49" s="194" t="s">
        <v>127</v>
      </c>
      <c r="J49" s="240">
        <f>B49*194/100000</f>
        <v>0.23280000000000001</v>
      </c>
      <c r="K49" s="86" t="s">
        <v>504</v>
      </c>
      <c r="L49" s="1"/>
      <c r="M49" s="32"/>
    </row>
    <row r="50" spans="1:13">
      <c r="A50" s="158"/>
      <c r="B50" s="303"/>
      <c r="C50" s="303"/>
      <c r="D50" s="303"/>
      <c r="E50" s="303"/>
      <c r="F50" s="303"/>
      <c r="G50" s="303"/>
      <c r="H50" s="303"/>
      <c r="I50" s="303"/>
      <c r="J50" s="303"/>
      <c r="K50" s="16"/>
      <c r="L50" s="1"/>
      <c r="M50" s="32"/>
    </row>
    <row r="51" spans="1:13" ht="30">
      <c r="A51" s="22" t="s">
        <v>98</v>
      </c>
      <c r="B51" s="206">
        <v>10</v>
      </c>
      <c r="C51" s="209" t="s">
        <v>115</v>
      </c>
      <c r="D51" s="37" t="s">
        <v>204</v>
      </c>
      <c r="E51" s="269">
        <v>35</v>
      </c>
      <c r="F51" s="195">
        <v>3.5</v>
      </c>
      <c r="G51" s="195">
        <v>0.1</v>
      </c>
      <c r="H51" s="195">
        <f t="shared" si="9"/>
        <v>12.250000000000002</v>
      </c>
      <c r="I51" s="187" t="s">
        <v>127</v>
      </c>
      <c r="J51" s="240">
        <f>51940/100000</f>
        <v>0.51939999999999997</v>
      </c>
      <c r="K51" s="85" t="s">
        <v>505</v>
      </c>
      <c r="L51" s="1"/>
      <c r="M51" s="32"/>
    </row>
    <row r="52" spans="1:13">
      <c r="A52" s="22" t="s">
        <v>142</v>
      </c>
      <c r="B52" s="206">
        <v>4717</v>
      </c>
      <c r="C52" s="270" t="s">
        <v>227</v>
      </c>
      <c r="D52" s="196" t="s">
        <v>228</v>
      </c>
      <c r="E52" s="195">
        <f t="shared" ref="E52" si="16">1/(F52*G52)*B52</f>
        <v>107.20454545454545</v>
      </c>
      <c r="F52" s="195">
        <v>20</v>
      </c>
      <c r="G52" s="195">
        <v>2.2000000000000002</v>
      </c>
      <c r="H52" s="195">
        <f t="shared" si="9"/>
        <v>4717</v>
      </c>
      <c r="I52" s="194" t="s">
        <v>127</v>
      </c>
      <c r="J52" s="240">
        <f>B52*194/100000</f>
        <v>9.1509800000000006</v>
      </c>
      <c r="K52" s="85" t="s">
        <v>506</v>
      </c>
      <c r="L52" s="1"/>
      <c r="M52" s="32"/>
    </row>
    <row r="53" spans="1:13" ht="15" customHeight="1">
      <c r="A53" s="114" t="s">
        <v>114</v>
      </c>
      <c r="B53" s="206">
        <v>10</v>
      </c>
      <c r="C53" s="270" t="s">
        <v>52</v>
      </c>
      <c r="D53" s="37" t="s">
        <v>204</v>
      </c>
      <c r="E53" s="195">
        <v>3</v>
      </c>
      <c r="F53" s="195">
        <v>2</v>
      </c>
      <c r="G53" s="195">
        <v>1.2</v>
      </c>
      <c r="H53" s="195">
        <f t="shared" si="9"/>
        <v>7.1999999999999993</v>
      </c>
      <c r="I53" s="194" t="s">
        <v>127</v>
      </c>
      <c r="J53" s="240">
        <f>51940/100000</f>
        <v>0.51939999999999997</v>
      </c>
      <c r="K53" s="85" t="s">
        <v>507</v>
      </c>
      <c r="L53" s="1"/>
      <c r="M53" s="32"/>
    </row>
    <row r="54" spans="1:13" ht="30" customHeight="1">
      <c r="A54" s="112"/>
      <c r="B54" s="194">
        <v>10</v>
      </c>
      <c r="C54" s="208" t="s">
        <v>173</v>
      </c>
      <c r="D54" s="37" t="s">
        <v>204</v>
      </c>
      <c r="E54" s="195">
        <v>7.5</v>
      </c>
      <c r="F54" s="195">
        <v>3.65</v>
      </c>
      <c r="G54" s="195">
        <v>3.05</v>
      </c>
      <c r="H54" s="195">
        <f t="shared" si="9"/>
        <v>83.493749999999991</v>
      </c>
      <c r="I54" s="187" t="s">
        <v>127</v>
      </c>
      <c r="J54" s="240">
        <f>68273/100000</f>
        <v>0.68272999999999995</v>
      </c>
      <c r="K54" s="86" t="s">
        <v>508</v>
      </c>
      <c r="L54" s="1"/>
      <c r="M54" s="32"/>
    </row>
    <row r="55" spans="1:13" ht="30" customHeight="1">
      <c r="A55" s="113"/>
      <c r="B55" s="206">
        <v>20</v>
      </c>
      <c r="C55" s="207" t="s">
        <v>134</v>
      </c>
      <c r="D55" s="37" t="s">
        <v>224</v>
      </c>
      <c r="E55" s="195">
        <v>100</v>
      </c>
      <c r="F55" s="195">
        <v>0.45</v>
      </c>
      <c r="G55" s="195">
        <v>0.45</v>
      </c>
      <c r="H55" s="195">
        <f>G55*F55*E55</f>
        <v>20.25</v>
      </c>
      <c r="I55" s="187" t="s">
        <v>127</v>
      </c>
      <c r="J55" s="240">
        <f>83880/100000</f>
        <v>0.83879999999999999</v>
      </c>
      <c r="K55" s="85" t="s">
        <v>509</v>
      </c>
      <c r="L55" s="1"/>
      <c r="M55" s="32"/>
    </row>
    <row r="56" spans="1:13">
      <c r="A56" s="66"/>
      <c r="B56" s="214">
        <f>SUM(B11:B55)</f>
        <v>28500</v>
      </c>
      <c r="C56" s="251"/>
      <c r="D56" s="252"/>
      <c r="E56" s="213"/>
      <c r="F56" s="213"/>
      <c r="G56" s="213"/>
      <c r="H56" s="213"/>
      <c r="I56" s="213"/>
      <c r="J56" s="253">
        <f>SUM(J11:J55)</f>
        <v>61.433329999999977</v>
      </c>
      <c r="K56" s="1"/>
      <c r="L56" s="1"/>
      <c r="M56" s="32"/>
    </row>
    <row r="57" spans="1:13">
      <c r="A57" s="66"/>
      <c r="B57" s="214"/>
      <c r="C57" s="210"/>
      <c r="D57" s="210"/>
      <c r="E57" s="210"/>
      <c r="F57" s="210"/>
      <c r="G57" s="210"/>
      <c r="H57" s="210"/>
      <c r="I57" s="210"/>
      <c r="J57" s="215">
        <f>E4/100000</f>
        <v>61.43333333333333</v>
      </c>
      <c r="K57" s="1"/>
      <c r="L57" s="1"/>
      <c r="M57" s="32"/>
    </row>
    <row r="58" spans="1:13">
      <c r="A58" s="66"/>
      <c r="B58" s="254">
        <f>B3*100</f>
        <v>28500</v>
      </c>
      <c r="C58" s="210"/>
      <c r="D58" s="210"/>
      <c r="E58" s="210"/>
      <c r="F58" s="210"/>
      <c r="G58" s="210"/>
      <c r="H58" s="210"/>
      <c r="I58" s="210"/>
      <c r="J58" s="255">
        <f>E2/100000</f>
        <v>55.29</v>
      </c>
      <c r="K58" s="1"/>
      <c r="L58" s="1"/>
      <c r="M58" s="32"/>
    </row>
    <row r="59" spans="1:13">
      <c r="A59" s="8" t="s">
        <v>38</v>
      </c>
      <c r="B59" s="210"/>
      <c r="C59" s="257">
        <f>E2/100000</f>
        <v>55.29</v>
      </c>
      <c r="D59" s="258" t="s">
        <v>39</v>
      </c>
      <c r="E59" s="210"/>
      <c r="F59" s="210"/>
      <c r="G59" s="210"/>
      <c r="H59" s="210"/>
      <c r="I59" s="210"/>
      <c r="J59" s="210"/>
      <c r="K59" s="1"/>
      <c r="L59" s="1"/>
      <c r="M59" s="32"/>
    </row>
    <row r="60" spans="1:13">
      <c r="A60" s="8" t="s">
        <v>40</v>
      </c>
      <c r="B60" s="210"/>
      <c r="C60" s="257">
        <f>C59*(1/9)</f>
        <v>6.1433333333333326</v>
      </c>
      <c r="D60" s="258" t="s">
        <v>39</v>
      </c>
      <c r="E60" s="210"/>
      <c r="F60" s="210"/>
      <c r="G60" s="210"/>
      <c r="H60" s="210"/>
      <c r="I60" s="210"/>
      <c r="J60" s="210"/>
      <c r="K60" s="48"/>
      <c r="L60" s="1"/>
      <c r="M60" s="32"/>
    </row>
    <row r="61" spans="1:13">
      <c r="A61" s="4" t="s">
        <v>108</v>
      </c>
      <c r="B61" s="210"/>
      <c r="C61" s="210"/>
      <c r="D61" s="210"/>
      <c r="E61" s="210"/>
      <c r="F61" s="210"/>
      <c r="G61" s="210"/>
      <c r="H61" s="210"/>
      <c r="I61" s="210"/>
      <c r="J61" s="259"/>
      <c r="K61" s="1"/>
      <c r="L61" s="1"/>
      <c r="M61" s="32"/>
    </row>
    <row r="62" spans="1:13">
      <c r="A62" s="1"/>
      <c r="B62" s="210"/>
      <c r="C62" s="210"/>
      <c r="D62" s="210"/>
      <c r="E62" s="210"/>
      <c r="F62" s="210"/>
      <c r="G62" s="210"/>
      <c r="H62" s="210"/>
      <c r="I62" s="210"/>
      <c r="J62" s="210"/>
      <c r="K62" s="1"/>
      <c r="L62" s="48"/>
      <c r="M62" s="32"/>
    </row>
    <row r="63" spans="1:13">
      <c r="A63" s="1"/>
      <c r="B63" s="210"/>
      <c r="C63" s="210"/>
      <c r="D63" s="210"/>
      <c r="E63" s="210"/>
      <c r="F63" s="210"/>
      <c r="G63" s="210"/>
      <c r="H63" s="210"/>
      <c r="I63" s="210"/>
      <c r="J63" s="210"/>
      <c r="K63" s="48"/>
      <c r="L63" s="1"/>
      <c r="M63" s="32"/>
    </row>
    <row r="64" spans="1:13">
      <c r="A64" s="1"/>
      <c r="B64" s="210"/>
      <c r="C64" s="210"/>
      <c r="D64" s="210"/>
      <c r="E64" s="210"/>
      <c r="F64" s="210"/>
      <c r="G64" s="210"/>
      <c r="H64" s="210"/>
      <c r="I64" s="210"/>
      <c r="J64" s="210"/>
      <c r="K64" s="1"/>
      <c r="L64" s="1"/>
      <c r="M64" s="32"/>
    </row>
    <row r="65" spans="1:13">
      <c r="A65" s="1"/>
      <c r="B65" s="210"/>
      <c r="C65" s="210"/>
      <c r="D65" s="210"/>
      <c r="E65" s="210"/>
      <c r="F65" s="210"/>
      <c r="G65" s="210"/>
      <c r="H65" s="210"/>
      <c r="I65" s="210"/>
      <c r="J65" s="271"/>
      <c r="K65" s="1"/>
      <c r="L65" s="1"/>
      <c r="M65" s="32"/>
    </row>
    <row r="66" spans="1:13">
      <c r="A66" s="1"/>
      <c r="B66" s="210"/>
      <c r="C66" s="210"/>
      <c r="D66" s="210"/>
      <c r="E66" s="210"/>
      <c r="F66" s="210"/>
      <c r="G66" s="210"/>
      <c r="H66" s="210"/>
      <c r="I66" s="210"/>
      <c r="J66" s="210"/>
      <c r="K66" s="1"/>
      <c r="L66" s="48"/>
      <c r="M66" s="32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48"/>
      <c r="L67" s="1"/>
      <c r="M67" s="32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2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48"/>
      <c r="L69" s="1"/>
      <c r="M69" s="32"/>
    </row>
  </sheetData>
  <mergeCells count="35">
    <mergeCell ref="J11:J14"/>
    <mergeCell ref="E35:E36"/>
    <mergeCell ref="F35:F36"/>
    <mergeCell ref="G35:G36"/>
    <mergeCell ref="A7:A8"/>
    <mergeCell ref="B7:B8"/>
    <mergeCell ref="C7:C8"/>
    <mergeCell ref="D7:D8"/>
    <mergeCell ref="J7:J9"/>
    <mergeCell ref="E2:G2"/>
    <mergeCell ref="E3:G3"/>
    <mergeCell ref="E4:G4"/>
    <mergeCell ref="E5:G5"/>
    <mergeCell ref="E6:G6"/>
    <mergeCell ref="K11:K14"/>
    <mergeCell ref="K7:K9"/>
    <mergeCell ref="K20:K29"/>
    <mergeCell ref="K35:K36"/>
    <mergeCell ref="A49:A50"/>
    <mergeCell ref="A11:A15"/>
    <mergeCell ref="A33:A36"/>
    <mergeCell ref="C35:C36"/>
    <mergeCell ref="B11:B14"/>
    <mergeCell ref="B35:B36"/>
    <mergeCell ref="A37:A41"/>
    <mergeCell ref="E7:I8"/>
    <mergeCell ref="A10:J10"/>
    <mergeCell ref="C11:C14"/>
    <mergeCell ref="A18:A19"/>
    <mergeCell ref="A20:A29"/>
    <mergeCell ref="K37:K46"/>
    <mergeCell ref="A53:A55"/>
    <mergeCell ref="H35:H36"/>
    <mergeCell ref="I35:I36"/>
    <mergeCell ref="J35:J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Venglai</vt:lpstr>
      <vt:lpstr>College veng</vt:lpstr>
      <vt:lpstr>Vengthar</vt:lpstr>
      <vt:lpstr>Hmarveng</vt:lpstr>
      <vt:lpstr>Diakkawn</vt:lpstr>
      <vt:lpstr>Rengtekawn</vt:lpstr>
      <vt:lpstr>Saidan</vt:lpstr>
      <vt:lpstr>Electric veng</vt:lpstr>
      <vt:lpstr>Project</vt:lpstr>
      <vt:lpstr>Tumpui</vt:lpstr>
      <vt:lpstr>N.Diakkawn</vt:lpstr>
      <vt:lpstr>N.Thinglian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Buanga</dc:creator>
  <cp:lastModifiedBy>Windows User</cp:lastModifiedBy>
  <dcterms:created xsi:type="dcterms:W3CDTF">2017-12-17T06:27:40Z</dcterms:created>
  <dcterms:modified xsi:type="dcterms:W3CDTF">2019-01-05T12:20:14Z</dcterms:modified>
</cp:coreProperties>
</file>